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zondal.sharepoint.com/sites/Bestuur/Gedeelde documenten/Leden/"/>
    </mc:Choice>
  </mc:AlternateContent>
  <xr:revisionPtr revIDLastSave="102" documentId="13_ncr:1_{ECB875E8-F651-4763-9BE1-2706853FF8B5}" xr6:coauthVersionLast="45" xr6:coauthVersionMax="45" xr10:uidLastSave="{ED18828D-867F-4714-95C2-9F38ACCBB404}"/>
  <bookViews>
    <workbookView xWindow="-120" yWindow="-120" windowWidth="29040" windowHeight="15840" xr2:uid="{00000000-000D-0000-FFFF-FFFF00000000}"/>
  </bookViews>
  <sheets>
    <sheet name="Inschrijvingsformulier" sheetId="1" r:id="rId1"/>
    <sheet name="keuzelijsten" sheetId="2" state="hidden" r:id="rId2"/>
    <sheet name="testing" sheetId="3" state="hidden" r:id="rId3"/>
  </sheets>
  <definedNames>
    <definedName name="_xlnm.Print_Area" localSheetId="0">Inschrijvingsformulier!$A$1:$P$61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2" l="1"/>
  <c r="J5" i="2"/>
  <c r="J6" i="2"/>
  <c r="J7" i="2"/>
  <c r="J8" i="2"/>
  <c r="J9" i="2"/>
  <c r="J10" i="2"/>
  <c r="J11" i="2"/>
  <c r="J12" i="2"/>
  <c r="J13" i="2"/>
  <c r="J3" i="2"/>
  <c r="B47" i="2"/>
  <c r="H41" i="1"/>
  <c r="I23" i="2"/>
  <c r="G43" i="1" l="1"/>
  <c r="G45" i="1"/>
  <c r="G46" i="1"/>
  <c r="H42" i="1"/>
  <c r="H43" i="1"/>
  <c r="H44" i="1"/>
  <c r="H45" i="1"/>
  <c r="H46" i="1"/>
  <c r="I57" i="2" l="1"/>
  <c r="I56" i="2"/>
  <c r="M56" i="2"/>
  <c r="M57" i="2"/>
  <c r="G29" i="1" l="1"/>
  <c r="G61" i="1" l="1"/>
  <c r="G60" i="1"/>
  <c r="L47" i="1"/>
  <c r="L48" i="1"/>
  <c r="C49" i="1"/>
  <c r="O4" i="2" l="1"/>
  <c r="N4" i="2"/>
  <c r="N5" i="2" s="1"/>
  <c r="N6" i="2" s="1"/>
  <c r="N7" i="2" s="1"/>
  <c r="N8" i="2" s="1"/>
  <c r="N9" i="2" s="1"/>
  <c r="N10" i="2" s="1"/>
  <c r="N11" i="2" s="1"/>
  <c r="N12" i="2" s="1"/>
  <c r="M4" i="2"/>
  <c r="M5" i="2" s="1"/>
  <c r="M6" i="2" s="1"/>
  <c r="M7" i="2" s="1"/>
  <c r="M8" i="2" s="1"/>
  <c r="M9" i="2" s="1"/>
  <c r="M10" i="2" s="1"/>
  <c r="M11" i="2" s="1"/>
  <c r="M12" i="2" s="1"/>
  <c r="AM17" i="1"/>
  <c r="AN17" i="1"/>
  <c r="AM18" i="1"/>
  <c r="AN18" i="1"/>
  <c r="BE18" i="1" s="1"/>
  <c r="AM19" i="1"/>
  <c r="AN19" i="1"/>
  <c r="AM20" i="1"/>
  <c r="AN20" i="1"/>
  <c r="AT20" i="1" s="1"/>
  <c r="AM21" i="1"/>
  <c r="AN21" i="1"/>
  <c r="AP21" i="1" s="1"/>
  <c r="AS18" i="1"/>
  <c r="AR18" i="1"/>
  <c r="BB22" i="1"/>
  <c r="BC22" i="1"/>
  <c r="BD22" i="1"/>
  <c r="BE22" i="1"/>
  <c r="BF22" i="1"/>
  <c r="BA22" i="1"/>
  <c r="AN16" i="1"/>
  <c r="AM16" i="1"/>
  <c r="G31" i="1"/>
  <c r="G32" i="1"/>
  <c r="G33" i="1"/>
  <c r="G34" i="1"/>
  <c r="G35" i="1"/>
  <c r="G30" i="1"/>
  <c r="I44" i="1"/>
  <c r="J44" i="1" s="1"/>
  <c r="I45" i="1"/>
  <c r="J45" i="1" s="1"/>
  <c r="I46" i="1"/>
  <c r="J46" i="1" s="1"/>
  <c r="E13" i="2"/>
  <c r="E12" i="2"/>
  <c r="E11" i="2"/>
  <c r="E10" i="2"/>
  <c r="E9" i="2"/>
  <c r="E8" i="2"/>
  <c r="E7" i="2"/>
  <c r="E6" i="2"/>
  <c r="E5" i="2"/>
  <c r="E4" i="2"/>
  <c r="E3" i="2"/>
  <c r="I33" i="1"/>
  <c r="K44" i="1" s="1"/>
  <c r="I34" i="1"/>
  <c r="K45" i="1" s="1"/>
  <c r="I35" i="1"/>
  <c r="K46" i="1" s="1"/>
  <c r="F31" i="1"/>
  <c r="I31" i="1"/>
  <c r="F32" i="1"/>
  <c r="I32" i="1"/>
  <c r="K43" i="1" s="1"/>
  <c r="F33" i="1"/>
  <c r="F34" i="1"/>
  <c r="F35" i="1"/>
  <c r="F30" i="1"/>
  <c r="I30" i="1"/>
  <c r="M25" i="1"/>
  <c r="B56" i="2"/>
  <c r="D21" i="1" s="1"/>
  <c r="D46" i="1" s="1"/>
  <c r="C30" i="1"/>
  <c r="C41" i="1" s="1"/>
  <c r="C31" i="1"/>
  <c r="C42" i="1" s="1"/>
  <c r="C32" i="1"/>
  <c r="C43" i="1" s="1"/>
  <c r="C33" i="1"/>
  <c r="C44" i="1" s="1"/>
  <c r="C34" i="1"/>
  <c r="C45" i="1" s="1"/>
  <c r="C35" i="1"/>
  <c r="C46" i="1" s="1"/>
  <c r="B31" i="1"/>
  <c r="B42" i="1" s="1"/>
  <c r="B32" i="1"/>
  <c r="B43" i="1" s="1"/>
  <c r="E43" i="1" s="1"/>
  <c r="B33" i="1"/>
  <c r="B44" i="1" s="1"/>
  <c r="B34" i="1"/>
  <c r="B45" i="1" s="1"/>
  <c r="E45" i="1" s="1"/>
  <c r="B35" i="1"/>
  <c r="B46" i="1" s="1"/>
  <c r="E46" i="1" s="1"/>
  <c r="B30" i="1"/>
  <c r="B41" i="1" s="1"/>
  <c r="G41" i="1" s="1"/>
  <c r="F4" i="2"/>
  <c r="B57" i="2" s="1"/>
  <c r="D16" i="1" s="1"/>
  <c r="D41" i="1" s="1"/>
  <c r="I42" i="1"/>
  <c r="J42" i="1" s="1"/>
  <c r="I41" i="1"/>
  <c r="J41" i="1" s="1"/>
  <c r="I43" i="1"/>
  <c r="J43" i="1" s="1"/>
  <c r="AQ18" i="1"/>
  <c r="AT18" i="1"/>
  <c r="B46" i="2"/>
  <c r="B48" i="2"/>
  <c r="B52" i="2"/>
  <c r="B53" i="2"/>
  <c r="B45" i="2"/>
  <c r="AZ18" i="1"/>
  <c r="AO20" i="1"/>
  <c r="AO18" i="1"/>
  <c r="BD18" i="1"/>
  <c r="BA18" i="1"/>
  <c r="BC18" i="1"/>
  <c r="BC20" i="1"/>
  <c r="BF20" i="1"/>
  <c r="K42" i="1" l="1"/>
  <c r="K41" i="1"/>
  <c r="AQ20" i="1"/>
  <c r="AQ21" i="1"/>
  <c r="AO21" i="1"/>
  <c r="BA21" i="1"/>
  <c r="BB21" i="1"/>
  <c r="BC21" i="1"/>
  <c r="BD21" i="1"/>
  <c r="BE21" i="1"/>
  <c r="BF21" i="1"/>
  <c r="AR21" i="1"/>
  <c r="AT21" i="1"/>
  <c r="AZ21" i="1"/>
  <c r="AS21" i="1"/>
  <c r="E42" i="1"/>
  <c r="G42" i="1"/>
  <c r="AQ19" i="1"/>
  <c r="AZ19" i="1"/>
  <c r="BE19" i="1"/>
  <c r="AR19" i="1"/>
  <c r="E44" i="1"/>
  <c r="G44" i="1"/>
  <c r="AS17" i="1"/>
  <c r="AQ17" i="1"/>
  <c r="D19" i="1"/>
  <c r="D44" i="1" s="1"/>
  <c r="D18" i="1"/>
  <c r="D43" i="1" s="1"/>
  <c r="O5" i="2"/>
  <c r="O6" i="2" s="1"/>
  <c r="O7" i="2" s="1"/>
  <c r="O8" i="2" s="1"/>
  <c r="O9" i="2" s="1"/>
  <c r="O10" i="2" s="1"/>
  <c r="O11" i="2" s="1"/>
  <c r="O12" i="2" s="1"/>
  <c r="D17" i="1"/>
  <c r="D42" i="1" s="1"/>
  <c r="D20" i="1"/>
  <c r="D45" i="1" s="1"/>
  <c r="K47" i="1"/>
  <c r="AS16" i="1"/>
  <c r="E41" i="1"/>
  <c r="AQ16" i="1"/>
  <c r="J47" i="1"/>
  <c r="H47" i="1"/>
  <c r="AT16" i="1" s="1"/>
  <c r="I47" i="1"/>
  <c r="AZ16" i="1" s="1"/>
  <c r="BE20" i="1"/>
  <c r="AZ20" i="1"/>
  <c r="AP20" i="1"/>
  <c r="BD20" i="1"/>
  <c r="BF18" i="1"/>
  <c r="AR20" i="1"/>
  <c r="AS20" i="1"/>
  <c r="BB20" i="1"/>
  <c r="BA20" i="1"/>
  <c r="AS19" i="1"/>
  <c r="BB18" i="1"/>
  <c r="AP18" i="1"/>
  <c r="AU18" i="1" s="1"/>
  <c r="BA19" i="1"/>
  <c r="E47" i="1" l="1"/>
  <c r="AO17" i="1" s="1"/>
  <c r="AU21" i="1"/>
  <c r="AR17" i="1"/>
  <c r="AO19" i="1"/>
  <c r="BF19" i="1"/>
  <c r="BD19" i="1"/>
  <c r="BC19" i="1"/>
  <c r="BB19" i="1"/>
  <c r="AT19" i="1"/>
  <c r="AR16" i="1"/>
  <c r="AT17" i="1"/>
  <c r="AZ17" i="1"/>
  <c r="G47" i="1"/>
  <c r="E53" i="1" s="1"/>
  <c r="E57" i="1"/>
  <c r="E58" i="1"/>
  <c r="E59" i="1"/>
  <c r="E55" i="1"/>
  <c r="E56" i="1"/>
  <c r="E54" i="1"/>
  <c r="BC16" i="1" s="1"/>
  <c r="AU20" i="1"/>
  <c r="AO16" i="1" l="1"/>
  <c r="BF17" i="1"/>
  <c r="BC17" i="1"/>
  <c r="BA17" i="1"/>
  <c r="BB17" i="1"/>
  <c r="BD17" i="1"/>
  <c r="BE17" i="1"/>
  <c r="AP19" i="1"/>
  <c r="AU19" i="1" s="1"/>
  <c r="AP17" i="1"/>
  <c r="AU17" i="1" s="1"/>
  <c r="AP16" i="1"/>
  <c r="BB16" i="1"/>
  <c r="BD16" i="1"/>
  <c r="BA16" i="1"/>
  <c r="BF16" i="1"/>
  <c r="BE16" i="1"/>
  <c r="E60" i="1"/>
  <c r="AU16" i="1" l="1"/>
</calcChain>
</file>

<file path=xl/sharedStrings.xml><?xml version="1.0" encoding="utf-8"?>
<sst xmlns="http://schemas.openxmlformats.org/spreadsheetml/2006/main" count="142" uniqueCount="91">
  <si>
    <t>Straat + Huisnummer</t>
  </si>
  <si>
    <t>Postcode</t>
  </si>
  <si>
    <t>Plaats</t>
  </si>
  <si>
    <t>Land</t>
  </si>
  <si>
    <t>nr</t>
  </si>
  <si>
    <t>Voornaam</t>
  </si>
  <si>
    <t>Naam</t>
  </si>
  <si>
    <t>Rijksregisternr.</t>
  </si>
  <si>
    <t>Geb. datum</t>
  </si>
  <si>
    <t>Geslacht</t>
  </si>
  <si>
    <t>Nationaliteit</t>
  </si>
  <si>
    <t>E-mail</t>
  </si>
  <si>
    <t>Lidmaatschap</t>
  </si>
  <si>
    <t>Steunend lid</t>
  </si>
  <si>
    <t>Zondal Kids t.e.m. 12j</t>
  </si>
  <si>
    <t>Zondal Racing team</t>
  </si>
  <si>
    <t>Vige</t>
  </si>
  <si>
    <t>M</t>
  </si>
  <si>
    <t>V</t>
  </si>
  <si>
    <t>JA/NEE</t>
  </si>
  <si>
    <t>Ja</t>
  </si>
  <si>
    <t>Nee</t>
  </si>
  <si>
    <t>Instapdatum</t>
  </si>
  <si>
    <t>Instapmaand</t>
  </si>
  <si>
    <t>Jaarabonnement Aspen?</t>
  </si>
  <si>
    <t>Lidgeld</t>
  </si>
  <si>
    <t>TOTAAL</t>
  </si>
  <si>
    <t>Les/training</t>
  </si>
  <si>
    <t>abonnement</t>
  </si>
  <si>
    <t>eenmalig</t>
  </si>
  <si>
    <t>gespreid</t>
  </si>
  <si>
    <t>maandbedrag</t>
  </si>
  <si>
    <t>korting</t>
  </si>
  <si>
    <t>standaard</t>
  </si>
  <si>
    <t>Lidgeld +13</t>
  </si>
  <si>
    <t>Lidgeld U13</t>
  </si>
  <si>
    <t>Max per gezin</t>
  </si>
  <si>
    <t>Categorie</t>
  </si>
  <si>
    <t>U13</t>
  </si>
  <si>
    <t>SVL</t>
  </si>
  <si>
    <t>Basic Safe Snow</t>
  </si>
  <si>
    <t>Snow Omnium</t>
  </si>
  <si>
    <t>Competitielicentie</t>
  </si>
  <si>
    <t>Gezin</t>
  </si>
  <si>
    <t>Verzekering</t>
  </si>
  <si>
    <t>Sneeuwsport Vl.</t>
  </si>
  <si>
    <t>Kunstpisteverzekering</t>
  </si>
  <si>
    <t>Onmiddellijk</t>
  </si>
  <si>
    <t>Voor het hele gezin?</t>
  </si>
  <si>
    <t>Gespreide betaling jaarabonnement?</t>
  </si>
  <si>
    <t>Individueel</t>
  </si>
  <si>
    <t>Kolom1</t>
  </si>
  <si>
    <t>Kolom2</t>
  </si>
  <si>
    <t>Bedrag</t>
  </si>
  <si>
    <t xml:space="preserve"> </t>
  </si>
  <si>
    <t xml:space="preserve">  </t>
  </si>
  <si>
    <t>Familienaam</t>
  </si>
  <si>
    <t>Vul alle velden in van links naar rechts</t>
  </si>
  <si>
    <t>Te betalen</t>
  </si>
  <si>
    <t>GSM</t>
  </si>
  <si>
    <t>1. Gezinsgegevens</t>
  </si>
  <si>
    <t>2. Gezinsleden</t>
  </si>
  <si>
    <t xml:space="preserve">4. Te betalen </t>
  </si>
  <si>
    <t>Zondal Kids beginners</t>
  </si>
  <si>
    <t xml:space="preserve">Licentie </t>
  </si>
  <si>
    <t>Abonnement</t>
  </si>
  <si>
    <t>Totaal</t>
  </si>
  <si>
    <t>Reeds betaald</t>
  </si>
  <si>
    <t xml:space="preserve">Betaling </t>
  </si>
  <si>
    <t>Ledendatabase</t>
  </si>
  <si>
    <t>Opmerking</t>
  </si>
  <si>
    <t>Gespreide Betaling</t>
  </si>
  <si>
    <t>Les</t>
  </si>
  <si>
    <t>Training</t>
  </si>
  <si>
    <t>Enkel mogelijk bij startdatum 1-aug</t>
  </si>
  <si>
    <t>Kies eerst je lidmaatschapstype</t>
  </si>
  <si>
    <t>Kies eerst de instapdatum</t>
  </si>
  <si>
    <t xml:space="preserve">Kies eerst </t>
  </si>
  <si>
    <t>Fysieke Lidkaart?</t>
  </si>
  <si>
    <t>Ik/wij ga/gaan akkoord met het Huishoudelijk Reglement en de geldende gedragscodes.</t>
  </si>
  <si>
    <t>Ik/wij ga/gaan akkoord met de Privacy Verklaring van Koninlkijke Skiclub Zondal vzw.</t>
  </si>
  <si>
    <t>3. Lidmaatschap/verzekering Sneeuwsport Vlaanderen - Geldig van 01/07 t.e.m. 30/06</t>
  </si>
  <si>
    <t>Pistetoegang</t>
  </si>
  <si>
    <t>Inbegrepen in lesgeld</t>
  </si>
  <si>
    <t>Familieski Beginner incl. toegang</t>
  </si>
  <si>
    <t>Familieski incl. toegang</t>
  </si>
  <si>
    <t>Inschrijvingsformulier Koninklijke Skiclub Zondal Seizoen 2020-2021</t>
  </si>
  <si>
    <t>v2021.00</t>
  </si>
  <si>
    <t>Groepslessen (10 weken)</t>
  </si>
  <si>
    <t>Groepslessen (tot einde seizoen)</t>
  </si>
  <si>
    <t>Ingevuld formulier per mail versturen naar inschrijvingen@zondal.be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</si>
</sst>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3]d/mmm/yy;@"/>
    <numFmt numFmtId="165" formatCode="_ [$€-413]\ * #,##0.00_ ;_ [$€-413]\ * \-#,##0.00_ ;_ [$€-413]\ * &quot;-&quot;??_ ;_ @_ "/>
    <numFmt numFmtId="166" formatCode="d\/mm\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1"/>
      <name val="Calibri Light"/>
      <family val="2"/>
      <scheme val="major"/>
    </font>
    <font>
      <b/>
      <sz val="11"/>
      <color theme="1" tint="0.499984740745262"/>
      <name val="Calibri Light"/>
      <family val="2"/>
      <scheme val="major"/>
    </font>
    <font>
      <sz val="11"/>
      <color rgb="FFC00000"/>
      <name val="Calibri Light"/>
      <family val="2"/>
      <scheme val="major"/>
    </font>
    <font>
      <sz val="11"/>
      <color theme="0" tint="-0.34998626667073579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1"/>
      <color rgb="FFFF0000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sz val="10"/>
      <color indexed="8"/>
      <name val="Arial"/>
      <family val="2"/>
    </font>
    <font>
      <i/>
      <sz val="11"/>
      <color rgb="FFFF0000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u/>
      <sz val="11"/>
      <color rgb="FFC00000"/>
      <name val="Calibri Light"/>
      <family val="2"/>
      <scheme val="major"/>
    </font>
    <font>
      <b/>
      <sz val="14"/>
      <color theme="1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/>
        <bgColor theme="6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3" fillId="0" borderId="0"/>
  </cellStyleXfs>
  <cellXfs count="88">
    <xf numFmtId="0" fontId="0" fillId="0" borderId="0" xfId="0"/>
    <xf numFmtId="16" fontId="0" fillId="0" borderId="0" xfId="0" applyNumberFormat="1"/>
    <xf numFmtId="14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1" fillId="0" borderId="3" xfId="0" applyFont="1" applyBorder="1"/>
    <xf numFmtId="0" fontId="1" fillId="0" borderId="0" xfId="0" applyFont="1" applyAlignment="1">
      <alignment vertical="top"/>
    </xf>
    <xf numFmtId="0" fontId="1" fillId="0" borderId="0" xfId="0" applyFont="1" applyBorder="1"/>
    <xf numFmtId="16" fontId="1" fillId="0" borderId="0" xfId="0" applyNumberFormat="1" applyFont="1" applyBorder="1"/>
    <xf numFmtId="0" fontId="1" fillId="0" borderId="0" xfId="0" applyFont="1" applyBorder="1" applyAlignment="1">
      <alignment horizontal="right"/>
    </xf>
    <xf numFmtId="0" fontId="0" fillId="0" borderId="0" xfId="0" applyNumberFormat="1"/>
    <xf numFmtId="2" fontId="1" fillId="0" borderId="0" xfId="0" applyNumberFormat="1" applyFont="1" applyBorder="1"/>
    <xf numFmtId="0" fontId="3" fillId="0" borderId="0" xfId="0" applyFont="1"/>
    <xf numFmtId="0" fontId="1" fillId="0" borderId="12" xfId="0" applyFont="1" applyBorder="1"/>
    <xf numFmtId="0" fontId="1" fillId="0" borderId="13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top"/>
    </xf>
    <xf numFmtId="0" fontId="1" fillId="4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1" fillId="0" borderId="1" xfId="0" applyFont="1" applyBorder="1"/>
    <xf numFmtId="0" fontId="1" fillId="0" borderId="2" xfId="0" applyFont="1" applyBorder="1"/>
    <xf numFmtId="0" fontId="1" fillId="0" borderId="10" xfId="0" applyFont="1" applyBorder="1"/>
    <xf numFmtId="0" fontId="1" fillId="0" borderId="11" xfId="0" applyFont="1" applyBorder="1"/>
    <xf numFmtId="2" fontId="1" fillId="0" borderId="11" xfId="0" applyNumberFormat="1" applyFont="1" applyBorder="1"/>
    <xf numFmtId="2" fontId="3" fillId="0" borderId="13" xfId="0" applyNumberFormat="1" applyFont="1" applyBorder="1"/>
    <xf numFmtId="2" fontId="3" fillId="0" borderId="14" xfId="0" applyNumberFormat="1" applyFont="1" applyBorder="1"/>
    <xf numFmtId="2" fontId="7" fillId="0" borderId="13" xfId="0" applyNumberFormat="1" applyFont="1" applyBorder="1"/>
    <xf numFmtId="0" fontId="1" fillId="3" borderId="17" xfId="0" applyFont="1" applyFill="1" applyBorder="1" applyProtection="1">
      <protection locked="0"/>
    </xf>
    <xf numFmtId="0" fontId="1" fillId="3" borderId="6" xfId="0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6" fillId="3" borderId="0" xfId="0" applyFont="1" applyFill="1" applyBorder="1" applyProtection="1">
      <protection locked="0"/>
    </xf>
    <xf numFmtId="14" fontId="6" fillId="3" borderId="0" xfId="0" applyNumberFormat="1" applyFont="1" applyFill="1" applyBorder="1" applyProtection="1">
      <protection locked="0"/>
    </xf>
    <xf numFmtId="164" fontId="6" fillId="3" borderId="0" xfId="0" applyNumberFormat="1" applyFont="1" applyFill="1" applyBorder="1" applyProtection="1">
      <protection locked="0"/>
    </xf>
    <xf numFmtId="0" fontId="1" fillId="3" borderId="0" xfId="0" applyFont="1" applyFill="1" applyBorder="1" applyAlignment="1" applyProtection="1">
      <alignment vertical="top"/>
      <protection locked="0"/>
    </xf>
    <xf numFmtId="0" fontId="1" fillId="3" borderId="0" xfId="0" applyFont="1" applyFill="1" applyBorder="1" applyProtection="1">
      <protection locked="0"/>
    </xf>
    <xf numFmtId="165" fontId="1" fillId="0" borderId="0" xfId="0" applyNumberFormat="1" applyFont="1" applyBorder="1"/>
    <xf numFmtId="165" fontId="3" fillId="0" borderId="0" xfId="0" applyNumberFormat="1" applyFont="1" applyBorder="1"/>
    <xf numFmtId="0" fontId="8" fillId="0" borderId="0" xfId="0" applyFont="1" applyAlignment="1">
      <alignment vertical="center"/>
    </xf>
    <xf numFmtId="0" fontId="1" fillId="3" borderId="6" xfId="0" applyFont="1" applyFill="1" applyBorder="1" applyAlignment="1" applyProtection="1">
      <alignment horizontal="left"/>
      <protection locked="0"/>
    </xf>
    <xf numFmtId="49" fontId="6" fillId="3" borderId="0" xfId="0" applyNumberFormat="1" applyFont="1" applyFill="1" applyBorder="1" applyProtection="1">
      <protection locked="0"/>
    </xf>
    <xf numFmtId="0" fontId="1" fillId="2" borderId="0" xfId="0" applyFont="1" applyFill="1" applyProtection="1"/>
    <xf numFmtId="0" fontId="3" fillId="2" borderId="0" xfId="0" applyFont="1" applyFill="1" applyProtection="1"/>
    <xf numFmtId="0" fontId="1" fillId="0" borderId="0" xfId="0" applyFont="1" applyBorder="1" applyProtection="1"/>
    <xf numFmtId="0" fontId="6" fillId="3" borderId="0" xfId="0" applyFont="1" applyFill="1" applyBorder="1" applyProtection="1"/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vertical="top"/>
    </xf>
    <xf numFmtId="0" fontId="1" fillId="2" borderId="2" xfId="0" applyFont="1" applyFill="1" applyBorder="1" applyProtection="1"/>
    <xf numFmtId="14" fontId="1" fillId="2" borderId="0" xfId="0" applyNumberFormat="1" applyFont="1" applyFill="1" applyBorder="1" applyProtection="1"/>
    <xf numFmtId="0" fontId="1" fillId="2" borderId="13" xfId="0" applyFont="1" applyFill="1" applyBorder="1" applyProtection="1"/>
    <xf numFmtId="0" fontId="1" fillId="0" borderId="0" xfId="0" applyFont="1" applyProtection="1"/>
    <xf numFmtId="0" fontId="3" fillId="0" borderId="0" xfId="0" applyFont="1" applyProtection="1"/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vertical="top"/>
    </xf>
    <xf numFmtId="0" fontId="1" fillId="0" borderId="2" xfId="0" applyFont="1" applyBorder="1" applyProtection="1"/>
    <xf numFmtId="2" fontId="1" fillId="0" borderId="0" xfId="0" applyNumberFormat="1" applyFont="1" applyBorder="1" applyProtection="1"/>
    <xf numFmtId="2" fontId="3" fillId="0" borderId="13" xfId="0" applyNumberFormat="1" applyFont="1" applyBorder="1" applyProtection="1"/>
    <xf numFmtId="0" fontId="6" fillId="3" borderId="0" xfId="0" applyFont="1" applyFill="1" applyBorder="1" applyAlignment="1" applyProtection="1">
      <alignment horizontal="center"/>
      <protection locked="0"/>
    </xf>
    <xf numFmtId="0" fontId="9" fillId="0" borderId="0" xfId="0" applyFont="1"/>
    <xf numFmtId="0" fontId="0" fillId="6" borderId="0" xfId="0" applyFill="1"/>
    <xf numFmtId="0" fontId="11" fillId="0" borderId="0" xfId="0" applyFont="1"/>
    <xf numFmtId="0" fontId="12" fillId="0" borderId="0" xfId="0" applyFont="1"/>
    <xf numFmtId="0" fontId="11" fillId="0" borderId="20" xfId="0" applyFont="1" applyBorder="1" applyProtection="1">
      <protection locked="0"/>
    </xf>
    <xf numFmtId="0" fontId="11" fillId="0" borderId="0" xfId="0" applyFont="1" applyBorder="1" applyProtection="1">
      <protection locked="0"/>
    </xf>
    <xf numFmtId="0" fontId="11" fillId="0" borderId="21" xfId="0" applyFont="1" applyBorder="1" applyProtection="1">
      <protection locked="0"/>
    </xf>
    <xf numFmtId="0" fontId="11" fillId="0" borderId="22" xfId="0" applyFont="1" applyBorder="1" applyProtection="1">
      <protection locked="0"/>
    </xf>
    <xf numFmtId="0" fontId="11" fillId="0" borderId="23" xfId="0" applyFont="1" applyBorder="1" applyProtection="1">
      <protection locked="0"/>
    </xf>
    <xf numFmtId="0" fontId="11" fillId="0" borderId="24" xfId="0" applyFont="1" applyBorder="1" applyProtection="1">
      <protection locked="0"/>
    </xf>
    <xf numFmtId="0" fontId="11" fillId="0" borderId="0" xfId="0" applyFont="1" applyAlignment="1">
      <alignment vertical="top"/>
    </xf>
    <xf numFmtId="0" fontId="12" fillId="0" borderId="18" xfId="2" applyFont="1" applyBorder="1" applyAlignment="1" applyProtection="1">
      <alignment horizontal="center"/>
      <protection locked="0"/>
    </xf>
    <xf numFmtId="0" fontId="12" fillId="0" borderId="19" xfId="2" applyFont="1" applyBorder="1" applyAlignment="1" applyProtection="1">
      <alignment horizontal="center"/>
      <protection locked="0"/>
    </xf>
    <xf numFmtId="0" fontId="12" fillId="0" borderId="19" xfId="2" applyFont="1" applyBorder="1" applyAlignment="1" applyProtection="1">
      <alignment horizontal="center" wrapText="1"/>
      <protection locked="0"/>
    </xf>
    <xf numFmtId="166" fontId="14" fillId="0" borderId="19" xfId="2" applyNumberFormat="1" applyFont="1" applyBorder="1" applyAlignment="1" applyProtection="1">
      <alignment horizontal="center"/>
      <protection locked="0"/>
    </xf>
    <xf numFmtId="0" fontId="15" fillId="3" borderId="0" xfId="1" applyFont="1" applyFill="1" applyBorder="1" applyProtection="1">
      <protection locked="0"/>
    </xf>
    <xf numFmtId="0" fontId="11" fillId="0" borderId="0" xfId="0" applyFont="1" applyFill="1" applyBorder="1" applyProtection="1">
      <protection locked="0"/>
    </xf>
    <xf numFmtId="0" fontId="11" fillId="0" borderId="23" xfId="0" applyFont="1" applyFill="1" applyBorder="1" applyProtection="1">
      <protection locked="0"/>
    </xf>
    <xf numFmtId="0" fontId="2" fillId="0" borderId="0" xfId="0" applyFont="1" applyAlignment="1" applyProtection="1">
      <alignment horizontal="right" vertical="center"/>
      <protection locked="0" hidden="1"/>
    </xf>
    <xf numFmtId="0" fontId="16" fillId="0" borderId="0" xfId="0" applyFont="1" applyAlignment="1" applyProtection="1">
      <alignment horizontal="left" vertical="center"/>
      <protection locked="0"/>
    </xf>
    <xf numFmtId="0" fontId="17" fillId="0" borderId="0" xfId="0" applyFont="1"/>
    <xf numFmtId="0" fontId="4" fillId="5" borderId="2" xfId="0" applyFont="1" applyFill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6" fillId="0" borderId="0" xfId="0" applyFont="1" applyAlignment="1" applyProtection="1">
      <alignment horizontal="left" vertical="center"/>
      <protection locked="0"/>
    </xf>
  </cellXfs>
  <cellStyles count="4">
    <cellStyle name="Hyperlink" xfId="1" builtinId="8"/>
    <cellStyle name="Normal_Blad1_1" xfId="3" xr:uid="{058FF35D-5E0B-4437-82DA-34F358624768}"/>
    <cellStyle name="Standaard" xfId="0" builtinId="0"/>
    <cellStyle name="Verklarende tekst" xfId="2" builtinId="53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165" formatCode="_ [$€-413]\ * #,##0.00_ ;_ [$€-413]\ * \-#,##0.00_ ;_ [$€-413]\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fill>
        <patternFill patternType="solid">
          <fgColor indexed="64"/>
          <bgColor theme="5" tint="0.79998168889431442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21" formatCode="d/mmm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name val="Calibri Light"/>
        <family val="2"/>
        <scheme val="major"/>
      </font>
    </dxf>
    <dxf>
      <font>
        <strike val="0"/>
        <outline val="0"/>
        <shadow val="0"/>
        <vertAlign val="baseline"/>
        <sz val="11"/>
        <name val="Calibri Light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2" formatCode="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167" formatCode="d/m/yyyy"/>
      <fill>
        <patternFill patternType="solid">
          <fgColor indexed="64"/>
          <bgColor theme="5" tint="0.79998168889431442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fill>
        <patternFill patternType="solid">
          <fgColor indexed="64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fill>
        <patternFill patternType="solid">
          <fgColor indexed="64"/>
          <bgColor theme="9" tint="0.7999816888943144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fill>
        <patternFill patternType="solid">
          <fgColor indexed="64"/>
          <bgColor theme="5" tint="0.79998168889431442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solid">
          <fgColor indexed="64"/>
          <bgColor theme="9" tint="0.79998168889431442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solid">
          <fgColor indexed="64"/>
          <bgColor theme="9" tint="0.7999816888943144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solid">
          <fgColor indexed="64"/>
          <bgColor theme="9" tint="0.79998168889431442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solid">
          <fgColor indexed="64"/>
          <bgColor theme="9" tint="0.79998168889431442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numFmt numFmtId="168" formatCode="[$-413]mmm/yy;@"/>
      <fill>
        <patternFill patternType="solid">
          <fgColor indexed="64"/>
          <bgColor theme="9" tint="0.79998168889431442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numFmt numFmtId="30" formatCode="@"/>
      <fill>
        <patternFill patternType="solid">
          <fgColor indexed="64"/>
          <bgColor theme="9" tint="0.79998168889431442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solid">
          <fgColor indexed="64"/>
          <bgColor theme="9" tint="0.79998168889431442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numFmt numFmtId="30" formatCode="@"/>
      <fill>
        <patternFill patternType="solid">
          <fgColor indexed="64"/>
          <bgColor theme="9" tint="0.79998168889431442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solid">
          <fgColor indexed="64"/>
          <bgColor theme="9" tint="0.79998168889431442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solid">
          <fgColor indexed="64"/>
          <bgColor theme="9" tint="0.79998168889431442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numFmt numFmtId="167" formatCode="d/m/yyyy"/>
      <fill>
        <patternFill patternType="solid">
          <fgColor indexed="64"/>
          <bgColor theme="9" tint="0.79998168889431442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numFmt numFmtId="0" formatCode="General"/>
      <fill>
        <patternFill patternType="solid">
          <fgColor indexed="64"/>
          <bgColor theme="9" tint="0.79998168889431442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solid">
          <fgColor indexed="64"/>
          <bgColor theme="9" tint="0.79998168889431442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solid">
          <fgColor indexed="64"/>
          <bgColor theme="9" tint="0.79998168889431442"/>
        </patternFill>
      </fill>
      <protection locked="0" hidden="0"/>
    </dxf>
    <dxf>
      <font>
        <strike val="0"/>
        <outline val="0"/>
        <shadow val="0"/>
        <vertAlign val="baseline"/>
        <sz val="11"/>
        <name val="Calibri Light"/>
        <family val="2"/>
        <scheme val="major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name val="Calibri Light"/>
        <family val="2"/>
        <scheme val="major"/>
      </font>
    </dxf>
    <dxf>
      <font>
        <strike val="0"/>
        <outline val="0"/>
        <shadow val="0"/>
        <vertAlign val="baseline"/>
        <sz val="11"/>
        <name val="Calibri Light"/>
        <family val="2"/>
        <scheme val="major"/>
      </font>
    </dxf>
    <dxf>
      <font>
        <color theme="1" tint="0.499984740745262"/>
      </font>
      <fill>
        <patternFill patternType="solid"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A23" lockText="1" noThreeD="1"/>
</file>

<file path=xl/ctrlProps/ctrlProp2.xml><?xml version="1.0" encoding="utf-8"?>
<formControlPr xmlns="http://schemas.microsoft.com/office/spreadsheetml/2009/9/main" objectType="CheckBox" fmlaLink="A24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190499</xdr:colOff>
      <xdr:row>2</xdr:row>
      <xdr:rowOff>100011</xdr:rowOff>
    </xdr:from>
    <xdr:to>
      <xdr:col>9</xdr:col>
      <xdr:colOff>1381124</xdr:colOff>
      <xdr:row>8</xdr:row>
      <xdr:rowOff>95249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599" y="547686"/>
          <a:ext cx="2295525" cy="114776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22</xdr:row>
          <xdr:rowOff>0</xdr:rowOff>
        </xdr:from>
        <xdr:to>
          <xdr:col>1</xdr:col>
          <xdr:colOff>685800</xdr:colOff>
          <xdr:row>23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22</xdr:row>
          <xdr:rowOff>180975</xdr:rowOff>
        </xdr:from>
        <xdr:to>
          <xdr:col>1</xdr:col>
          <xdr:colOff>685800</xdr:colOff>
          <xdr:row>24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1" displayName="Tabel1" ref="A15:P21" totalsRowShown="0" headerRowDxfId="49" dataDxfId="48" tableBorderDxfId="47">
  <tableColumns count="16">
    <tableColumn id="1" xr3:uid="{00000000-0010-0000-0000-000001000000}" name="nr" dataDxfId="46"/>
    <tableColumn id="2" xr3:uid="{00000000-0010-0000-0000-000002000000}" name="Naam" dataDxfId="45"/>
    <tableColumn id="3" xr3:uid="{00000000-0010-0000-0000-000003000000}" name="Voornaam" dataDxfId="44"/>
    <tableColumn id="4" xr3:uid="{00000000-0010-0000-0000-000004000000}" name="Categorie" dataDxfId="43">
      <calculatedColumnFormula>IF(($L16-$E16)/365.25&lt;13,keuzelijsten!$B$56,keuzelijsten!$B$57)</calculatedColumnFormula>
    </tableColumn>
    <tableColumn id="5" xr3:uid="{00000000-0010-0000-0000-000005000000}" name="Geb. datum" dataDxfId="42"/>
    <tableColumn id="6" xr3:uid="{00000000-0010-0000-0000-000006000000}" name="Kolom1" dataDxfId="41"/>
    <tableColumn id="7" xr3:uid="{00000000-0010-0000-0000-000007000000}" name="Geslacht" dataDxfId="40"/>
    <tableColumn id="8" xr3:uid="{00000000-0010-0000-0000-000008000000}" name="Nationaliteit" dataDxfId="39"/>
    <tableColumn id="9" xr3:uid="{00000000-0010-0000-0000-000009000000}" name="Rijksregisternr." dataDxfId="38"/>
    <tableColumn id="10" xr3:uid="{00000000-0010-0000-0000-00000A000000}" name="E-mail" dataDxfId="37" dataCellStyle="Hyperlink"/>
    <tableColumn id="11" xr3:uid="{00000000-0010-0000-0000-00000B000000}" name="GSM" dataDxfId="36"/>
    <tableColumn id="12" xr3:uid="{00000000-0010-0000-0000-00000C000000}" name="Instapdatum" dataDxfId="35"/>
    <tableColumn id="13" xr3:uid="{00000000-0010-0000-0000-00000D000000}" name="Lidmaatschap" dataDxfId="34"/>
    <tableColumn id="16" xr3:uid="{2592524A-3FB6-4C7B-B33F-00383F33988C}" name="Fysieke Lidkaart?" dataDxfId="33"/>
    <tableColumn id="14" xr3:uid="{00000000-0010-0000-0000-00000E000000}" name="Jaarabonnement Aspen?" dataDxfId="32"/>
    <tableColumn id="15" xr3:uid="{00000000-0010-0000-0000-00000F000000}" name="Gespreide betaling jaarabonnement?" dataDxfId="31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2" displayName="Tabel2" ref="A28:I35" totalsRowShown="0" headerRowDxfId="30" dataDxfId="29" tableBorderDxfId="28">
  <autoFilter ref="A28:I35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100-000001000000}" name="nr" dataDxfId="27"/>
    <tableColumn id="2" xr3:uid="{00000000-0010-0000-0100-000002000000}" name="Naam" dataDxfId="26">
      <calculatedColumnFormula>IF(B15="","",B15)</calculatedColumnFormula>
    </tableColumn>
    <tableColumn id="3" xr3:uid="{00000000-0010-0000-0100-000003000000}" name="Voornaam" dataDxfId="25">
      <calculatedColumnFormula>IF(C15="","",C15)</calculatedColumnFormula>
    </tableColumn>
    <tableColumn id="4" xr3:uid="{00000000-0010-0000-0100-000004000000}" name="Kolom1" dataDxfId="24"/>
    <tableColumn id="5" xr3:uid="{00000000-0010-0000-0100-000005000000}" name="Verzekering" dataDxfId="23"/>
    <tableColumn id="6" xr3:uid="{00000000-0010-0000-0100-000006000000}" name="Kolom2" dataDxfId="22">
      <calculatedColumnFormula>IF(E$29=keuzelijsten!B$65,Inschrijvingsformulier!E29,Inschrijvingsformulier!E$29)</calculatedColumnFormula>
    </tableColumn>
    <tableColumn id="7" xr3:uid="{00000000-0010-0000-0100-000007000000}" name=" " dataDxfId="21">
      <calculatedColumnFormula>IF(E29="",0,IF(M$25&gt;2,IF(E29=keuzelijsten!B$66,keuzelijsten!G$66,IF(E29=keuzelijsten!B$67,keuzelijsten!G$67,IF(E29=keuzelijsten!B$68,keuzelijsten!G$68))),IF(E29=keuzelijsten!B$66,keuzelijsten!C$66,IF(E29=keuzelijsten!B$67,keuzelijsten!C$67,IF(E29=keuzelijsten!B$68,keuzelijsten!C$68)))))</calculatedColumnFormula>
    </tableColumn>
    <tableColumn id="8" xr3:uid="{00000000-0010-0000-0100-000008000000}" name="Competitielicentie" dataDxfId="20"/>
    <tableColumn id="9" xr3:uid="{00000000-0010-0000-0100-000009000000}" name="  " dataDxfId="19">
      <calculatedColumnFormula>IF(H29="",0,IF(Inschrijvingsformulier!H29=keuzelijsten!$C$4,0,IF(Inschrijvingsformulier!H29=keuzelijsten!$C$3,IF(Inschrijvingsformulier!F29=keuzelijsten!B$67,keuzelijsten!J$67,IF(F29=keuzelijsten!B$68,keuzelijsten!J$68)))))</calculatedColumnFormula>
    </tableColumn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3" displayName="Tabel3" ref="A40:K47" totalsRowShown="0" headerRowDxfId="18" dataDxfId="17">
  <autoFilter ref="A40:K47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200-000001000000}" name="nr" dataDxfId="16"/>
    <tableColumn id="2" xr3:uid="{00000000-0010-0000-0200-000002000000}" name="Naam" dataDxfId="15"/>
    <tableColumn id="3" xr3:uid="{00000000-0010-0000-0200-000003000000}" name="Voornaam" dataDxfId="14"/>
    <tableColumn id="4" xr3:uid="{00000000-0010-0000-0200-000004000000}" name="Categorie" dataDxfId="13"/>
    <tableColumn id="5" xr3:uid="{00000000-0010-0000-0200-000005000000}" name="Lidgeld" dataDxfId="12"/>
    <tableColumn id="6" xr3:uid="{00000000-0010-0000-0200-000006000000}" name="Kolom1" dataDxfId="11"/>
    <tableColumn id="7" xr3:uid="{00000000-0010-0000-0200-000007000000}" name="Les/training" dataDxfId="10"/>
    <tableColumn id="8" xr3:uid="{00000000-0010-0000-0200-000008000000}" name="eenmalig" dataDxfId="9"/>
    <tableColumn id="9" xr3:uid="{00000000-0010-0000-0200-000009000000}" name="gespreid" dataDxfId="8"/>
    <tableColumn id="10" xr3:uid="{00000000-0010-0000-0200-00000A000000}" name="maandbedrag" dataDxfId="7"/>
    <tableColumn id="11" xr3:uid="{00000000-0010-0000-0200-00000B000000}" name="Sneeuwsport Vl." dataDxfId="6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el5" displayName="Tabel5" ref="C52:E60" totalsRowShown="0" headerRowDxfId="5" dataDxfId="4" tableBorderDxfId="3">
  <autoFilter ref="C52:E60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300-000001000000}" name="Te betalen" dataDxfId="2"/>
    <tableColumn id="2" xr3:uid="{00000000-0010-0000-0300-000002000000}" name="Kolom1" dataDxfId="1"/>
    <tableColumn id="3" xr3:uid="{00000000-0010-0000-0300-000003000000}" name="Bedrag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https://zondal.be/new/images/Huishoudelijk%20Reglement.pdf" TargetMode="External"/><Relationship Id="rId7" Type="http://schemas.openxmlformats.org/officeDocument/2006/relationships/ctrlProp" Target="../ctrlProps/ctrlProp1.xml"/><Relationship Id="rId12" Type="http://schemas.openxmlformats.org/officeDocument/2006/relationships/table" Target="../tables/table4.xml"/><Relationship Id="rId2" Type="http://schemas.openxmlformats.org/officeDocument/2006/relationships/hyperlink" Target="https://zondal.be/new/images/Huishoudelijk%20Reglement%202018-2019.pdf" TargetMode="External"/><Relationship Id="rId1" Type="http://schemas.openxmlformats.org/officeDocument/2006/relationships/hyperlink" Target="https://www.zondal.be/new/images/Privacyverklaring-Koninklijke-Skiclub-Zondal-vzw.pdf" TargetMode="External"/><Relationship Id="rId6" Type="http://schemas.openxmlformats.org/officeDocument/2006/relationships/vmlDrawing" Target="../drawings/vmlDrawing1.vml"/><Relationship Id="rId11" Type="http://schemas.openxmlformats.org/officeDocument/2006/relationships/table" Target="../tables/table3.xml"/><Relationship Id="rId5" Type="http://schemas.openxmlformats.org/officeDocument/2006/relationships/drawing" Target="../drawings/drawing1.xml"/><Relationship Id="rId10" Type="http://schemas.openxmlformats.org/officeDocument/2006/relationships/table" Target="../tables/table2.xml"/><Relationship Id="rId4" Type="http://schemas.openxmlformats.org/officeDocument/2006/relationships/printerSettings" Target="../printerSettings/printerSettings1.bin"/><Relationship Id="rId9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BF61"/>
  <sheetViews>
    <sheetView showGridLines="0" tabSelected="1" workbookViewId="0">
      <selection activeCell="C5" sqref="C5"/>
    </sheetView>
  </sheetViews>
  <sheetFormatPr defaultColWidth="10.7109375" defaultRowHeight="15" x14ac:dyDescent="0.25"/>
  <cols>
    <col min="1" max="1" width="5" style="3" customWidth="1"/>
    <col min="2" max="2" width="18.28515625" style="3" customWidth="1"/>
    <col min="3" max="3" width="21.5703125" style="3" customWidth="1"/>
    <col min="4" max="4" width="6.7109375" style="42" hidden="1" customWidth="1"/>
    <col min="5" max="5" width="20.28515625" style="3" bestFit="1" customWidth="1"/>
    <col min="6" max="6" width="9.7109375" style="51" hidden="1" customWidth="1"/>
    <col min="7" max="7" width="13" style="3" bestFit="1" customWidth="1"/>
    <col min="8" max="8" width="19.5703125" style="3" bestFit="1" customWidth="1"/>
    <col min="9" max="9" width="16.5703125" style="3" customWidth="1"/>
    <col min="10" max="10" width="31.140625" style="3" customWidth="1"/>
    <col min="11" max="11" width="21.85546875" style="3" customWidth="1"/>
    <col min="12" max="12" width="20.7109375" style="3" bestFit="1" customWidth="1"/>
    <col min="13" max="13" width="29.140625" style="3" bestFit="1" customWidth="1"/>
    <col min="14" max="14" width="11.140625" style="3" customWidth="1"/>
    <col min="15" max="15" width="18.140625" style="3" bestFit="1" customWidth="1"/>
    <col min="16" max="16" width="17.85546875" style="3" customWidth="1"/>
    <col min="17" max="38" width="10.7109375" style="3"/>
    <col min="39" max="58" width="10.7109375" style="61" customWidth="1"/>
    <col min="59" max="16384" width="10.7109375" style="3"/>
  </cols>
  <sheetData>
    <row r="1" spans="1:58" ht="18.75" x14ac:dyDescent="0.3">
      <c r="A1" s="79" t="s">
        <v>86</v>
      </c>
    </row>
    <row r="2" spans="1:58" x14ac:dyDescent="0.25">
      <c r="A2" s="59" t="s">
        <v>87</v>
      </c>
    </row>
    <row r="3" spans="1:58" x14ac:dyDescent="0.25">
      <c r="A3" s="13" t="s">
        <v>60</v>
      </c>
    </row>
    <row r="4" spans="1:58" ht="15.75" thickBot="1" x14ac:dyDescent="0.3"/>
    <row r="5" spans="1:58" x14ac:dyDescent="0.25">
      <c r="A5" s="81" t="s">
        <v>56</v>
      </c>
      <c r="B5" s="82"/>
      <c r="C5" s="29"/>
    </row>
    <row r="6" spans="1:58" x14ac:dyDescent="0.25">
      <c r="A6" s="83" t="s">
        <v>0</v>
      </c>
      <c r="B6" s="84"/>
      <c r="C6" s="30"/>
    </row>
    <row r="7" spans="1:58" x14ac:dyDescent="0.25">
      <c r="A7" s="83" t="s">
        <v>1</v>
      </c>
      <c r="B7" s="84"/>
      <c r="C7" s="40"/>
    </row>
    <row r="8" spans="1:58" x14ac:dyDescent="0.25">
      <c r="A8" s="83" t="s">
        <v>2</v>
      </c>
      <c r="B8" s="84"/>
      <c r="C8" s="30"/>
    </row>
    <row r="9" spans="1:58" ht="15.75" thickBot="1" x14ac:dyDescent="0.3">
      <c r="A9" s="85" t="s">
        <v>3</v>
      </c>
      <c r="B9" s="86"/>
      <c r="C9" s="31"/>
    </row>
    <row r="12" spans="1:58" s="13" customFormat="1" x14ac:dyDescent="0.25">
      <c r="A12" s="13" t="s">
        <v>61</v>
      </c>
      <c r="D12" s="43"/>
      <c r="F12" s="5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</row>
    <row r="13" spans="1:58" s="13" customFormat="1" x14ac:dyDescent="0.25">
      <c r="B13" s="3" t="s">
        <v>57</v>
      </c>
      <c r="D13" s="43"/>
      <c r="F13" s="5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</row>
    <row r="15" spans="1:58" s="4" customFormat="1" ht="30" customHeight="1" x14ac:dyDescent="0.25">
      <c r="A15" s="8" t="s">
        <v>4</v>
      </c>
      <c r="B15" s="8" t="s">
        <v>6</v>
      </c>
      <c r="C15" s="8" t="s">
        <v>5</v>
      </c>
      <c r="D15" s="44" t="s">
        <v>37</v>
      </c>
      <c r="E15" s="8" t="s">
        <v>8</v>
      </c>
      <c r="F15" s="44" t="s">
        <v>51</v>
      </c>
      <c r="G15" s="8" t="s">
        <v>9</v>
      </c>
      <c r="H15" s="8" t="s">
        <v>10</v>
      </c>
      <c r="I15" s="8" t="s">
        <v>7</v>
      </c>
      <c r="J15" s="8" t="s">
        <v>11</v>
      </c>
      <c r="K15" s="8" t="s">
        <v>59</v>
      </c>
      <c r="L15" s="8" t="s">
        <v>22</v>
      </c>
      <c r="M15" s="8" t="s">
        <v>12</v>
      </c>
      <c r="N15" s="16" t="s">
        <v>78</v>
      </c>
      <c r="O15" s="16" t="s">
        <v>24</v>
      </c>
      <c r="P15" s="16" t="s">
        <v>49</v>
      </c>
      <c r="AM15" s="70" t="s">
        <v>6</v>
      </c>
      <c r="AN15" s="71" t="s">
        <v>5</v>
      </c>
      <c r="AO15" s="71" t="s">
        <v>25</v>
      </c>
      <c r="AP15" s="71" t="s">
        <v>72</v>
      </c>
      <c r="AQ15" s="71" t="s">
        <v>73</v>
      </c>
      <c r="AR15" s="71" t="s">
        <v>44</v>
      </c>
      <c r="AS15" s="71" t="s">
        <v>64</v>
      </c>
      <c r="AT15" s="71" t="s">
        <v>65</v>
      </c>
      <c r="AU15" s="71" t="s">
        <v>66</v>
      </c>
      <c r="AV15" s="71" t="s">
        <v>67</v>
      </c>
      <c r="AW15" s="71" t="s">
        <v>68</v>
      </c>
      <c r="AX15" s="72" t="s">
        <v>69</v>
      </c>
      <c r="AY15" s="72" t="s">
        <v>70</v>
      </c>
      <c r="AZ15" s="71" t="s">
        <v>71</v>
      </c>
      <c r="BA15" s="73">
        <v>43678</v>
      </c>
      <c r="BB15" s="73">
        <v>43709</v>
      </c>
      <c r="BC15" s="73">
        <v>43739</v>
      </c>
      <c r="BD15" s="73">
        <v>43770</v>
      </c>
      <c r="BE15" s="73">
        <v>43800</v>
      </c>
      <c r="BF15" s="73">
        <v>43831</v>
      </c>
    </row>
    <row r="16" spans="1:58" x14ac:dyDescent="0.25">
      <c r="A16" s="8">
        <v>1</v>
      </c>
      <c r="B16" s="32"/>
      <c r="C16" s="32"/>
      <c r="D16" s="45" t="str">
        <f>IF(($L16-$E16)/365.25&lt;13,keuzelijsten!$B$56,keuzelijsten!$B$57)</f>
        <v>U13</v>
      </c>
      <c r="E16" s="33"/>
      <c r="F16" s="45"/>
      <c r="G16" s="58"/>
      <c r="H16" s="32"/>
      <c r="I16" s="41"/>
      <c r="J16" s="74"/>
      <c r="K16" s="41"/>
      <c r="L16" s="34"/>
      <c r="M16" s="32"/>
      <c r="N16" s="32"/>
      <c r="O16" s="32"/>
      <c r="P16" s="32"/>
      <c r="AM16" s="63" t="str">
        <f>IF(Tabel1[[#This Row],[Naam]]="","",Tabel1[[#This Row],[Naam]])</f>
        <v/>
      </c>
      <c r="AN16" s="64" t="str">
        <f>IF(Tabel1[[#This Row],[Voornaam]]="","",Tabel1[[#This Row],[Voornaam]])</f>
        <v/>
      </c>
      <c r="AO16" s="64" t="str">
        <f t="shared" ref="AO16:AO21" si="0">IF($AN16="","",IF($AN17="",E$47,""))</f>
        <v/>
      </c>
      <c r="AP16" s="64" t="str">
        <f t="shared" ref="AP16:AP21" si="1">IF($AN16="","",IF($AN17="",$G$47-$AQ16,""))</f>
        <v/>
      </c>
      <c r="AQ16" s="75" t="str">
        <f>IF($AN16="","",IF($AN17="",IF(SUMPRODUCT(--($M$16=keuzelijsten!B$48:B$52))&gt;0,$G$41,0)+IF(SUMPRODUCT(--($M$17=keuzelijsten!B$48:B$52))&gt;0,$G$42,0)+IF(SUMPRODUCT(--($M$18=keuzelijsten!B$48:B$52))&gt;0,$G$43,0)+IF(SUMPRODUCT(--($M$19=keuzelijsten!B$48:B$52))&gt;0,$G$44,0)+IF(SUMPRODUCT(--($M$20=keuzelijsten!B$48:B$52))&gt;0,$G$45,0)+IF(SUMPRODUCT(--($M$21=keuzelijsten!B$48:B$52))&gt;0,$G$46,0),""))</f>
        <v/>
      </c>
      <c r="AR16" s="64" t="str">
        <f>IF($AN16="","",IF($AN17="",IF(Inschrijvingsformulier!K$47=0,"",Inschrijvingsformulier!K$47-AS16),""))</f>
        <v/>
      </c>
      <c r="AS16" s="64" t="str">
        <f t="shared" ref="AS16:AS21" si="2">IF($AN16="","",IF($AN17="",SUM($I$30:$I$35),""))</f>
        <v/>
      </c>
      <c r="AT16" s="64" t="str">
        <f t="shared" ref="AT16:AT21" si="3">IF($AN16="","",IF($AN17="",IF(H$47=0,"",H$47),""))</f>
        <v/>
      </c>
      <c r="AU16" s="64" t="str">
        <f>IF(SUM(AO16:AT16)=0,"",SUM(AO16:AT16))</f>
        <v/>
      </c>
      <c r="AV16" s="64"/>
      <c r="AW16" s="64"/>
      <c r="AX16" s="64"/>
      <c r="AY16" s="64"/>
      <c r="AZ16" s="64" t="str">
        <f t="shared" ref="AZ16:AZ21" si="4">IF($AN16="","",IF($AN17="",IF(I$47=0,"","x"),""))</f>
        <v/>
      </c>
      <c r="BA16" s="64" t="str">
        <f t="shared" ref="BA16:BF21" si="5">IF($AN16="","",IF($AN17="",IF($J$47=0,"",$E$54),""))</f>
        <v/>
      </c>
      <c r="BB16" s="64" t="str">
        <f t="shared" si="5"/>
        <v/>
      </c>
      <c r="BC16" s="64" t="str">
        <f t="shared" si="5"/>
        <v/>
      </c>
      <c r="BD16" s="64" t="str">
        <f t="shared" si="5"/>
        <v/>
      </c>
      <c r="BE16" s="64" t="str">
        <f t="shared" si="5"/>
        <v/>
      </c>
      <c r="BF16" s="65" t="str">
        <f t="shared" si="5"/>
        <v/>
      </c>
    </row>
    <row r="17" spans="1:58" x14ac:dyDescent="0.25">
      <c r="A17" s="8">
        <v>2</v>
      </c>
      <c r="B17" s="32"/>
      <c r="C17" s="32"/>
      <c r="D17" s="45" t="str">
        <f>IF(($L17-$E17)/365.25&lt;13,keuzelijsten!$B$56,keuzelijsten!$B$57)</f>
        <v>U13</v>
      </c>
      <c r="E17" s="33"/>
      <c r="F17" s="45"/>
      <c r="G17" s="58"/>
      <c r="H17" s="32"/>
      <c r="I17" s="41"/>
      <c r="J17" s="74"/>
      <c r="K17" s="41"/>
      <c r="L17" s="34"/>
      <c r="M17" s="32"/>
      <c r="N17" s="32"/>
      <c r="O17" s="32"/>
      <c r="P17" s="32"/>
      <c r="AM17" s="63" t="str">
        <f>IF(Tabel1[[#This Row],[Naam]]="","",Tabel1[[#This Row],[Naam]])</f>
        <v/>
      </c>
      <c r="AN17" s="64" t="str">
        <f>IF(Tabel1[[#This Row],[Voornaam]]="","",Tabel1[[#This Row],[Voornaam]])</f>
        <v/>
      </c>
      <c r="AO17" s="64" t="str">
        <f t="shared" si="0"/>
        <v/>
      </c>
      <c r="AP17" s="64" t="str">
        <f t="shared" si="1"/>
        <v/>
      </c>
      <c r="AQ17" s="75" t="str">
        <f>IF($AN17="","",IF($AN18="",IF(SUMPRODUCT(--($M$16=keuzelijsten!B$48:B$52))&gt;0,$G$41,0)+IF(SUMPRODUCT(--($M$17=keuzelijsten!B$48:B$52))&gt;0,$G$42,0)+IF(SUMPRODUCT(--($M$18=keuzelijsten!B$48:B$52))&gt;0,$G$43,0)+IF(SUMPRODUCT(--($M$19=keuzelijsten!B$48:B$52))&gt;0,$G$44,0)+IF(SUMPRODUCT(--($M$20=keuzelijsten!B$48:B$52))&gt;0,$G$45,0)+IF(SUMPRODUCT(--($M$21=keuzelijsten!B$48:B$52))&gt;0,$G$46,0),""))</f>
        <v/>
      </c>
      <c r="AR17" s="64" t="str">
        <f>IF($AN17="","",IF($AN18="",IF(Inschrijvingsformulier!K$47=0,"",Inschrijvingsformulier!K$47-AS17),""))</f>
        <v/>
      </c>
      <c r="AS17" s="64" t="str">
        <f t="shared" si="2"/>
        <v/>
      </c>
      <c r="AT17" s="64" t="str">
        <f t="shared" si="3"/>
        <v/>
      </c>
      <c r="AU17" s="64" t="str">
        <f t="shared" ref="AU17:AU21" si="6">IF(SUM(AO17:AT17)=0,"",SUM(AO17:AT17))</f>
        <v/>
      </c>
      <c r="AV17" s="64"/>
      <c r="AW17" s="64"/>
      <c r="AX17" s="64"/>
      <c r="AY17" s="64"/>
      <c r="AZ17" s="64" t="str">
        <f t="shared" si="4"/>
        <v/>
      </c>
      <c r="BA17" s="64" t="str">
        <f t="shared" si="5"/>
        <v/>
      </c>
      <c r="BB17" s="64" t="str">
        <f t="shared" si="5"/>
        <v/>
      </c>
      <c r="BC17" s="64" t="str">
        <f t="shared" si="5"/>
        <v/>
      </c>
      <c r="BD17" s="64" t="str">
        <f t="shared" si="5"/>
        <v/>
      </c>
      <c r="BE17" s="64" t="str">
        <f t="shared" si="5"/>
        <v/>
      </c>
      <c r="BF17" s="65" t="str">
        <f t="shared" si="5"/>
        <v/>
      </c>
    </row>
    <row r="18" spans="1:58" x14ac:dyDescent="0.25">
      <c r="A18" s="8">
        <v>3</v>
      </c>
      <c r="B18" s="32"/>
      <c r="C18" s="32"/>
      <c r="D18" s="45" t="str">
        <f>IF(($L18-$E18)/365.25&lt;13,keuzelijsten!$B$56,keuzelijsten!$B$57)</f>
        <v>U13</v>
      </c>
      <c r="E18" s="33"/>
      <c r="F18" s="45"/>
      <c r="G18" s="58"/>
      <c r="H18" s="32"/>
      <c r="I18" s="41"/>
      <c r="J18" s="74"/>
      <c r="K18" s="41"/>
      <c r="L18" s="34"/>
      <c r="M18" s="32"/>
      <c r="N18" s="32"/>
      <c r="O18" s="32"/>
      <c r="P18" s="32"/>
      <c r="AM18" s="63" t="str">
        <f>IF(Tabel1[[#This Row],[Naam]]="","",Tabel1[[#This Row],[Naam]])</f>
        <v/>
      </c>
      <c r="AN18" s="64" t="str">
        <f>IF(Tabel1[[#This Row],[Voornaam]]="","",Tabel1[[#This Row],[Voornaam]])</f>
        <v/>
      </c>
      <c r="AO18" s="64" t="str">
        <f t="shared" si="0"/>
        <v/>
      </c>
      <c r="AP18" s="64" t="str">
        <f t="shared" si="1"/>
        <v/>
      </c>
      <c r="AQ18" s="75" t="str">
        <f>IF($AN18="","",IF($AN19="",IF(SUMPRODUCT(--($M$16=keuzelijsten!B$48:B$52))&gt;0,$G$41,0)+IF(SUMPRODUCT(--($M$17=keuzelijsten!B$48:B$52))&gt;0,$G$42,0)+IF(SUMPRODUCT(--($M$18=keuzelijsten!B$48:B$52))&gt;0,$G$43,0)+IF(SUMPRODUCT(--($M$19=keuzelijsten!B$48:B$52))&gt;0,$G$44,0)+IF(SUMPRODUCT(--($M$20=keuzelijsten!B$48:B$52))&gt;0,$G$45,0)+IF(SUMPRODUCT(--($M$21=keuzelijsten!B$48:B$52))&gt;0,$G$46,0),""))</f>
        <v/>
      </c>
      <c r="AR18" s="64" t="str">
        <f>IF($AN18="","",IF($AN19="",IF(Inschrijvingsformulier!K$47=0,"",Inschrijvingsformulier!K$47-AS18),""))</f>
        <v/>
      </c>
      <c r="AS18" s="64" t="str">
        <f t="shared" si="2"/>
        <v/>
      </c>
      <c r="AT18" s="64" t="str">
        <f t="shared" si="3"/>
        <v/>
      </c>
      <c r="AU18" s="64" t="str">
        <f t="shared" si="6"/>
        <v/>
      </c>
      <c r="AV18" s="64"/>
      <c r="AW18" s="64"/>
      <c r="AX18" s="64"/>
      <c r="AY18" s="64"/>
      <c r="AZ18" s="64" t="str">
        <f t="shared" si="4"/>
        <v/>
      </c>
      <c r="BA18" s="64" t="str">
        <f t="shared" si="5"/>
        <v/>
      </c>
      <c r="BB18" s="64" t="str">
        <f t="shared" si="5"/>
        <v/>
      </c>
      <c r="BC18" s="64" t="str">
        <f t="shared" si="5"/>
        <v/>
      </c>
      <c r="BD18" s="64" t="str">
        <f t="shared" si="5"/>
        <v/>
      </c>
      <c r="BE18" s="64" t="str">
        <f t="shared" si="5"/>
        <v/>
      </c>
      <c r="BF18" s="65" t="str">
        <f t="shared" si="5"/>
        <v/>
      </c>
    </row>
    <row r="19" spans="1:58" x14ac:dyDescent="0.25">
      <c r="A19" s="8">
        <v>4</v>
      </c>
      <c r="B19" s="32"/>
      <c r="C19" s="32"/>
      <c r="D19" s="45" t="str">
        <f>IF(($L19-$E19)/365.25&lt;13,keuzelijsten!$B$56,keuzelijsten!$B$57)</f>
        <v>U13</v>
      </c>
      <c r="E19" s="33"/>
      <c r="F19" s="45"/>
      <c r="G19" s="58"/>
      <c r="H19" s="32"/>
      <c r="I19" s="41"/>
      <c r="J19" s="74"/>
      <c r="K19" s="41"/>
      <c r="L19" s="34"/>
      <c r="M19" s="32"/>
      <c r="N19" s="32"/>
      <c r="O19" s="32"/>
      <c r="P19" s="32"/>
      <c r="AM19" s="63" t="str">
        <f>IF(Tabel1[[#This Row],[Naam]]="","",Tabel1[[#This Row],[Naam]])</f>
        <v/>
      </c>
      <c r="AN19" s="64" t="str">
        <f>IF(Tabel1[[#This Row],[Voornaam]]="","",Tabel1[[#This Row],[Voornaam]])</f>
        <v/>
      </c>
      <c r="AO19" s="64" t="str">
        <f t="shared" si="0"/>
        <v/>
      </c>
      <c r="AP19" s="64" t="str">
        <f t="shared" si="1"/>
        <v/>
      </c>
      <c r="AQ19" s="75" t="str">
        <f>IF($AN19="","",IF($AN20="",IF(SUMPRODUCT(--($M$16=keuzelijsten!B$48:B$52))&gt;0,$G$41,0)+IF(SUMPRODUCT(--($M$17=keuzelijsten!B$48:B$52))&gt;0,$G$42,0)+IF(SUMPRODUCT(--($M$18=keuzelijsten!B$48:B$52))&gt;0,$G$43,0)+IF(SUMPRODUCT(--($M$19=keuzelijsten!B$48:B$52))&gt;0,$G$44,0)+IF(SUMPRODUCT(--($M$20=keuzelijsten!B$48:B$52))&gt;0,$G$45,0)+IF(SUMPRODUCT(--($M$21=keuzelijsten!B$48:B$52))&gt;0,$G$46,0),""))</f>
        <v/>
      </c>
      <c r="AR19" s="64" t="str">
        <f>IF($AN19="","",IF($AN20="",IF(Inschrijvingsformulier!K$47=0,"",Inschrijvingsformulier!K$47-AS19),""))</f>
        <v/>
      </c>
      <c r="AS19" s="64" t="str">
        <f t="shared" si="2"/>
        <v/>
      </c>
      <c r="AT19" s="64" t="str">
        <f t="shared" si="3"/>
        <v/>
      </c>
      <c r="AU19" s="64" t="str">
        <f t="shared" si="6"/>
        <v/>
      </c>
      <c r="AV19" s="64"/>
      <c r="AW19" s="64"/>
      <c r="AX19" s="64"/>
      <c r="AY19" s="64"/>
      <c r="AZ19" s="64" t="str">
        <f t="shared" si="4"/>
        <v/>
      </c>
      <c r="BA19" s="64" t="str">
        <f t="shared" si="5"/>
        <v/>
      </c>
      <c r="BB19" s="64" t="str">
        <f t="shared" si="5"/>
        <v/>
      </c>
      <c r="BC19" s="64" t="str">
        <f t="shared" si="5"/>
        <v/>
      </c>
      <c r="BD19" s="64" t="str">
        <f t="shared" si="5"/>
        <v/>
      </c>
      <c r="BE19" s="64" t="str">
        <f t="shared" si="5"/>
        <v/>
      </c>
      <c r="BF19" s="65" t="str">
        <f t="shared" si="5"/>
        <v/>
      </c>
    </row>
    <row r="20" spans="1:58" x14ac:dyDescent="0.25">
      <c r="A20" s="8">
        <v>5</v>
      </c>
      <c r="B20" s="32"/>
      <c r="C20" s="32"/>
      <c r="D20" s="45" t="str">
        <f>IF(($L20-$E20)/365.25&lt;13,keuzelijsten!$B$56,keuzelijsten!$B$57)</f>
        <v>U13</v>
      </c>
      <c r="E20" s="33"/>
      <c r="F20" s="45"/>
      <c r="G20" s="58"/>
      <c r="H20" s="32"/>
      <c r="I20" s="41"/>
      <c r="J20" s="74"/>
      <c r="K20" s="41"/>
      <c r="L20" s="34"/>
      <c r="M20" s="32"/>
      <c r="N20" s="32"/>
      <c r="O20" s="32"/>
      <c r="P20" s="32"/>
      <c r="AM20" s="63" t="str">
        <f>IF(Tabel1[[#This Row],[Naam]]="","",Tabel1[[#This Row],[Naam]])</f>
        <v/>
      </c>
      <c r="AN20" s="64" t="str">
        <f>IF(Tabel1[[#This Row],[Voornaam]]="","",Tabel1[[#This Row],[Voornaam]])</f>
        <v/>
      </c>
      <c r="AO20" s="64" t="str">
        <f t="shared" si="0"/>
        <v/>
      </c>
      <c r="AP20" s="64" t="str">
        <f t="shared" si="1"/>
        <v/>
      </c>
      <c r="AQ20" s="75" t="str">
        <f>IF($AN20="","",IF($AN21="",IF(SUMPRODUCT(--($M$16=keuzelijsten!B$48:B$52))&gt;0,$G$41,0)+IF(SUMPRODUCT(--($M$17=keuzelijsten!B$48:B$52))&gt;0,$G$42,0)+IF(SUMPRODUCT(--($M$18=keuzelijsten!B$48:B$52))&gt;0,$G$43,0)+IF(SUMPRODUCT(--($M$19=keuzelijsten!B$48:B$52))&gt;0,$G$44,0)+IF(SUMPRODUCT(--($M$20=keuzelijsten!B$48:B$52))&gt;0,$G$45,0)+IF(SUMPRODUCT(--($M$21=keuzelijsten!B$48:B$52))&gt;0,$G$46,0),""))</f>
        <v/>
      </c>
      <c r="AR20" s="64" t="str">
        <f>IF($AN20="","",IF($AN21="",IF(Inschrijvingsformulier!K$47=0,"",Inschrijvingsformulier!K$47-AS20),""))</f>
        <v/>
      </c>
      <c r="AS20" s="64" t="str">
        <f t="shared" si="2"/>
        <v/>
      </c>
      <c r="AT20" s="64" t="str">
        <f t="shared" si="3"/>
        <v/>
      </c>
      <c r="AU20" s="64" t="str">
        <f t="shared" si="6"/>
        <v/>
      </c>
      <c r="AV20" s="64"/>
      <c r="AW20" s="64"/>
      <c r="AX20" s="64"/>
      <c r="AY20" s="64"/>
      <c r="AZ20" s="64" t="str">
        <f t="shared" si="4"/>
        <v/>
      </c>
      <c r="BA20" s="64" t="str">
        <f t="shared" si="5"/>
        <v/>
      </c>
      <c r="BB20" s="64" t="str">
        <f t="shared" si="5"/>
        <v/>
      </c>
      <c r="BC20" s="64" t="str">
        <f t="shared" si="5"/>
        <v/>
      </c>
      <c r="BD20" s="64" t="str">
        <f t="shared" si="5"/>
        <v/>
      </c>
      <c r="BE20" s="64" t="str">
        <f t="shared" si="5"/>
        <v/>
      </c>
      <c r="BF20" s="65" t="str">
        <f t="shared" si="5"/>
        <v/>
      </c>
    </row>
    <row r="21" spans="1:58" x14ac:dyDescent="0.25">
      <c r="A21" s="8">
        <v>6</v>
      </c>
      <c r="B21" s="32"/>
      <c r="C21" s="32"/>
      <c r="D21" s="45" t="str">
        <f>IF(($L21-$E21)/365.25&lt;13,keuzelijsten!$B$56,keuzelijsten!$B$57)</f>
        <v>U13</v>
      </c>
      <c r="E21" s="33"/>
      <c r="F21" s="45"/>
      <c r="G21" s="58"/>
      <c r="H21" s="32"/>
      <c r="I21" s="41"/>
      <c r="J21" s="74"/>
      <c r="K21" s="41"/>
      <c r="L21" s="34"/>
      <c r="M21" s="32"/>
      <c r="N21" s="32"/>
      <c r="O21" s="32"/>
      <c r="P21" s="32"/>
      <c r="AM21" s="66" t="str">
        <f>IF(Tabel1[[#This Row],[Naam]]="","",Tabel1[[#This Row],[Naam]])</f>
        <v/>
      </c>
      <c r="AN21" s="67" t="str">
        <f>IF(Tabel1[[#This Row],[Voornaam]]="","",Tabel1[[#This Row],[Voornaam]])</f>
        <v/>
      </c>
      <c r="AO21" s="67" t="str">
        <f t="shared" si="0"/>
        <v/>
      </c>
      <c r="AP21" s="67" t="str">
        <f t="shared" si="1"/>
        <v/>
      </c>
      <c r="AQ21" s="76" t="str">
        <f>IF($AN21="","",IF($AN22="",IF(SUMPRODUCT(--($M$16=keuzelijsten!B$48:B$52))&gt;0,$G$41,0)+IF(SUMPRODUCT(--($M$17=keuzelijsten!B$48:B$52))&gt;0,$G$42,0)+IF(SUMPRODUCT(--($M$18=keuzelijsten!B$48:B$52))&gt;0,$G$43,0)+IF(SUMPRODUCT(--($M$19=keuzelijsten!B$48:B$52))&gt;0,$G$44,0)+IF(SUMPRODUCT(--($M$20=keuzelijsten!B$48:B$52))&gt;0,$G$45,0)+IF(SUMPRODUCT(--($M$21=keuzelijsten!B$48:B$52))&gt;0,$G$46,0),""))</f>
        <v/>
      </c>
      <c r="AR21" s="67" t="str">
        <f>IF($AN21="","",IF($AN22="",IF(Inschrijvingsformulier!K$47=0,"",Inschrijvingsformulier!K$47-AS21),""))</f>
        <v/>
      </c>
      <c r="AS21" s="67" t="str">
        <f t="shared" si="2"/>
        <v/>
      </c>
      <c r="AT21" s="67" t="str">
        <f t="shared" si="3"/>
        <v/>
      </c>
      <c r="AU21" s="67" t="str">
        <f t="shared" si="6"/>
        <v/>
      </c>
      <c r="AV21" s="67"/>
      <c r="AW21" s="67"/>
      <c r="AX21" s="67"/>
      <c r="AY21" s="67"/>
      <c r="AZ21" s="67" t="str">
        <f t="shared" si="4"/>
        <v/>
      </c>
      <c r="BA21" s="67" t="str">
        <f t="shared" si="5"/>
        <v/>
      </c>
      <c r="BB21" s="67" t="str">
        <f t="shared" si="5"/>
        <v/>
      </c>
      <c r="BC21" s="67" t="str">
        <f t="shared" si="5"/>
        <v/>
      </c>
      <c r="BD21" s="67" t="str">
        <f t="shared" si="5"/>
        <v/>
      </c>
      <c r="BE21" s="67" t="str">
        <f t="shared" si="5"/>
        <v/>
      </c>
      <c r="BF21" s="68" t="str">
        <f t="shared" si="5"/>
        <v/>
      </c>
    </row>
    <row r="22" spans="1:58" x14ac:dyDescent="0.25">
      <c r="M22" s="5"/>
      <c r="N22" s="5"/>
      <c r="BA22" s="61" t="str">
        <f t="shared" ref="BA22:BF22" si="7">IF($AN22="","",IF($AN25="",IF($J$47=0,"",$E$54),""))</f>
        <v/>
      </c>
      <c r="BB22" s="61" t="str">
        <f t="shared" si="7"/>
        <v/>
      </c>
      <c r="BC22" s="61" t="str">
        <f t="shared" si="7"/>
        <v/>
      </c>
      <c r="BD22" s="61" t="str">
        <f t="shared" si="7"/>
        <v/>
      </c>
      <c r="BE22" s="61" t="str">
        <f t="shared" si="7"/>
        <v/>
      </c>
      <c r="BF22" s="61" t="str">
        <f t="shared" si="7"/>
        <v/>
      </c>
    </row>
    <row r="23" spans="1:58" x14ac:dyDescent="0.25">
      <c r="A23" s="77" t="b">
        <v>0</v>
      </c>
      <c r="B23" s="87" t="s">
        <v>79</v>
      </c>
      <c r="C23" s="87"/>
      <c r="D23" s="87"/>
      <c r="E23" s="87"/>
      <c r="F23" s="87"/>
      <c r="G23" s="87"/>
      <c r="H23" s="78"/>
      <c r="M23" s="5"/>
      <c r="N23" s="5"/>
    </row>
    <row r="24" spans="1:58" x14ac:dyDescent="0.25">
      <c r="A24" s="77" t="b">
        <v>0</v>
      </c>
      <c r="B24" s="87" t="s">
        <v>80</v>
      </c>
      <c r="C24" s="87"/>
      <c r="D24" s="87"/>
      <c r="E24" s="87"/>
      <c r="F24" s="87"/>
      <c r="G24" s="87"/>
      <c r="H24" s="39"/>
      <c r="M24" s="5"/>
      <c r="N24" s="5"/>
    </row>
    <row r="25" spans="1:58" x14ac:dyDescent="0.25">
      <c r="M25" s="5">
        <f>COUNTA(M16:M21)</f>
        <v>0</v>
      </c>
      <c r="N25" s="5"/>
    </row>
    <row r="26" spans="1:58" s="13" customFormat="1" x14ac:dyDescent="0.25">
      <c r="A26" s="13" t="s">
        <v>81</v>
      </c>
      <c r="D26" s="43"/>
      <c r="F26" s="5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</row>
    <row r="28" spans="1:58" x14ac:dyDescent="0.25">
      <c r="A28" s="8" t="s">
        <v>4</v>
      </c>
      <c r="B28" s="8" t="s">
        <v>6</v>
      </c>
      <c r="C28" s="8" t="s">
        <v>5</v>
      </c>
      <c r="D28" s="46" t="s">
        <v>51</v>
      </c>
      <c r="E28" s="17" t="s">
        <v>44</v>
      </c>
      <c r="F28" s="53" t="s">
        <v>52</v>
      </c>
      <c r="G28" s="17" t="s">
        <v>54</v>
      </c>
      <c r="H28" s="17" t="s">
        <v>42</v>
      </c>
      <c r="I28" s="17" t="s">
        <v>55</v>
      </c>
    </row>
    <row r="29" spans="1:58" s="7" customFormat="1" ht="23.25" customHeight="1" x14ac:dyDescent="0.25">
      <c r="A29" s="18"/>
      <c r="B29" s="18"/>
      <c r="C29" s="19" t="s">
        <v>48</v>
      </c>
      <c r="D29" s="47"/>
      <c r="E29" s="35" t="s">
        <v>50</v>
      </c>
      <c r="F29" s="54"/>
      <c r="G29" s="18">
        <f>IF(E29=keuzelijsten!B65,keuzelijsten!G65,IF(E29=keuzelijsten!B66,keuzelijsten!G66,IF(E29=keuzelijsten!B67,keuzelijsten!G67,IF(E29=keuzelijsten!B68,keuzelijsten!G68,0))))</f>
        <v>0</v>
      </c>
      <c r="H29" s="20"/>
      <c r="I29" s="18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</row>
    <row r="30" spans="1:58" x14ac:dyDescent="0.25">
      <c r="A30" s="8">
        <v>1</v>
      </c>
      <c r="B30" s="8" t="str">
        <f t="shared" ref="B30:C35" si="8">IF(B16="","",B16)</f>
        <v/>
      </c>
      <c r="C30" s="8" t="str">
        <f t="shared" si="8"/>
        <v/>
      </c>
      <c r="D30" s="46"/>
      <c r="E30" s="36"/>
      <c r="F30" s="44">
        <f>IF(E$29=keuzelijsten!B$65,Inschrijvingsformulier!E30,Inschrijvingsformulier!E$29)</f>
        <v>0</v>
      </c>
      <c r="G30" s="8">
        <f>IF(E30="",0,IF(E30=keuzelijsten!B$66,keuzelijsten!C$66,IF(E30=keuzelijsten!B$67,keuzelijsten!C$67,IF(E30=keuzelijsten!B$68,keuzelijsten!C$68))))</f>
        <v>0</v>
      </c>
      <c r="H30" s="36"/>
      <c r="I30" s="8">
        <f>IF(H30="",0,IF(Inschrijvingsformulier!H30=keuzelijsten!$C$4,0,IF(Inschrijvingsformulier!H30=keuzelijsten!$C$3,IF(Inschrijvingsformulier!F30=keuzelijsten!B$67,keuzelijsten!J$67,IF(F30=keuzelijsten!B$68,keuzelijsten!J$68)))))</f>
        <v>0</v>
      </c>
      <c r="AQ30" s="69"/>
    </row>
    <row r="31" spans="1:58" x14ac:dyDescent="0.25">
      <c r="A31" s="8">
        <v>2</v>
      </c>
      <c r="B31" s="8" t="str">
        <f t="shared" si="8"/>
        <v/>
      </c>
      <c r="C31" s="8" t="str">
        <f t="shared" si="8"/>
        <v/>
      </c>
      <c r="D31" s="46"/>
      <c r="E31" s="36"/>
      <c r="F31" s="44">
        <f>IF(E$29=keuzelijsten!B$65,Inschrijvingsformulier!E31,Inschrijvingsformulier!E$29)</f>
        <v>0</v>
      </c>
      <c r="G31" s="8">
        <f>IF(E31="",0,IF(E31=keuzelijsten!B$66,keuzelijsten!C$66,IF(E31=keuzelijsten!B$67,keuzelijsten!C$67,IF(E31=keuzelijsten!B$68,keuzelijsten!C$68))))</f>
        <v>0</v>
      </c>
      <c r="H31" s="36"/>
      <c r="I31" s="8">
        <f>IF(H31="",0,IF(Inschrijvingsformulier!H31=keuzelijsten!$C$4,0,IF(Inschrijvingsformulier!H31=keuzelijsten!$C$3,IF(Inschrijvingsformulier!F31=keuzelijsten!B$67,keuzelijsten!J$67,IF(F31=keuzelijsten!B$68,keuzelijsten!J$68)))))</f>
        <v>0</v>
      </c>
      <c r="AQ31" s="69"/>
    </row>
    <row r="32" spans="1:58" x14ac:dyDescent="0.25">
      <c r="A32" s="8">
        <v>3</v>
      </c>
      <c r="B32" s="8" t="str">
        <f t="shared" si="8"/>
        <v/>
      </c>
      <c r="C32" s="8" t="str">
        <f t="shared" si="8"/>
        <v/>
      </c>
      <c r="D32" s="46"/>
      <c r="E32" s="36"/>
      <c r="F32" s="44">
        <f>IF(E$29=keuzelijsten!B$65,Inschrijvingsformulier!E32,Inschrijvingsformulier!E$29)</f>
        <v>0</v>
      </c>
      <c r="G32" s="8">
        <f>IF(E32="",0,IF(E32=keuzelijsten!B$66,keuzelijsten!C$66,IF(E32=keuzelijsten!B$67,keuzelijsten!C$67,IF(E32=keuzelijsten!B$68,keuzelijsten!C$68))))</f>
        <v>0</v>
      </c>
      <c r="H32" s="36"/>
      <c r="I32" s="8">
        <f>IF(H32="",0,IF(Inschrijvingsformulier!H32=keuzelijsten!$C$4,0,IF(Inschrijvingsformulier!H32=keuzelijsten!$C$3,IF(Inschrijvingsformulier!F32=keuzelijsten!B$67,keuzelijsten!J$67,IF(F32=keuzelijsten!B$68,keuzelijsten!J$68)))))</f>
        <v>0</v>
      </c>
      <c r="AQ32" s="69"/>
    </row>
    <row r="33" spans="1:58" x14ac:dyDescent="0.25">
      <c r="A33" s="8">
        <v>4</v>
      </c>
      <c r="B33" s="8" t="str">
        <f t="shared" si="8"/>
        <v/>
      </c>
      <c r="C33" s="8" t="str">
        <f t="shared" si="8"/>
        <v/>
      </c>
      <c r="D33" s="46"/>
      <c r="E33" s="36"/>
      <c r="F33" s="44">
        <f>IF(E$29=keuzelijsten!B$65,Inschrijvingsformulier!E33,Inschrijvingsformulier!E$29)</f>
        <v>0</v>
      </c>
      <c r="G33" s="8">
        <f>IF(E33="",0,IF(E33=keuzelijsten!B$66,keuzelijsten!C$66,IF(E33=keuzelijsten!B$67,keuzelijsten!C$67,IF(E33=keuzelijsten!B$68,keuzelijsten!C$68))))</f>
        <v>0</v>
      </c>
      <c r="H33" s="36"/>
      <c r="I33" s="8">
        <f>IF(H33="",0,IF(Inschrijvingsformulier!H33=keuzelijsten!$C$4,0,IF(Inschrijvingsformulier!H33=keuzelijsten!$C$3,IF(Inschrijvingsformulier!F33=keuzelijsten!B$67,keuzelijsten!J$67,IF(F33=keuzelijsten!B$68,keuzelijsten!J$68)))))</f>
        <v>0</v>
      </c>
      <c r="AQ33" s="69"/>
    </row>
    <row r="34" spans="1:58" x14ac:dyDescent="0.25">
      <c r="A34" s="8">
        <v>5</v>
      </c>
      <c r="B34" s="8" t="str">
        <f t="shared" si="8"/>
        <v/>
      </c>
      <c r="C34" s="8" t="str">
        <f t="shared" si="8"/>
        <v/>
      </c>
      <c r="D34" s="46"/>
      <c r="E34" s="36"/>
      <c r="F34" s="44">
        <f>IF(E$29=keuzelijsten!B$65,Inschrijvingsformulier!E34,Inschrijvingsformulier!E$29)</f>
        <v>0</v>
      </c>
      <c r="G34" s="8">
        <f>IF(E34="",0,IF(E34=keuzelijsten!B$66,keuzelijsten!C$66,IF(E34=keuzelijsten!B$67,keuzelijsten!C$67,IF(E34=keuzelijsten!B$68,keuzelijsten!C$68))))</f>
        <v>0</v>
      </c>
      <c r="H34" s="36"/>
      <c r="I34" s="8">
        <f>IF(H34="",0,IF(Inschrijvingsformulier!H34=keuzelijsten!$C$4,0,IF(Inschrijvingsformulier!H34=keuzelijsten!$C$3,IF(Inschrijvingsformulier!F34=keuzelijsten!B$67,keuzelijsten!J$67,IF(F34=keuzelijsten!B$68,keuzelijsten!J$68)))))</f>
        <v>0</v>
      </c>
      <c r="AQ34" s="69"/>
    </row>
    <row r="35" spans="1:58" x14ac:dyDescent="0.25">
      <c r="A35" s="8">
        <v>6</v>
      </c>
      <c r="B35" s="8" t="str">
        <f t="shared" si="8"/>
        <v/>
      </c>
      <c r="C35" s="8" t="str">
        <f t="shared" si="8"/>
        <v/>
      </c>
      <c r="D35" s="46"/>
      <c r="E35" s="36"/>
      <c r="F35" s="44">
        <f>IF(E$29=keuzelijsten!B$65,Inschrijvingsformulier!E35,Inschrijvingsformulier!E$29)</f>
        <v>0</v>
      </c>
      <c r="G35" s="8">
        <f>IF(E35="",0,IF(E35=keuzelijsten!B$66,keuzelijsten!C$66,IF(E35=keuzelijsten!B$67,keuzelijsten!C$67,IF(E35=keuzelijsten!B$68,keuzelijsten!C$68))))</f>
        <v>0</v>
      </c>
      <c r="H35" s="36"/>
      <c r="I35" s="8">
        <f>IF(H35="",0,IF(Inschrijvingsformulier!H35=keuzelijsten!$C$4,0,IF(Inschrijvingsformulier!H35=keuzelijsten!$C$3,IF(Inschrijvingsformulier!F35=keuzelijsten!B$67,keuzelijsten!J$67,IF(F35=keuzelijsten!B$68,keuzelijsten!J$68)))))</f>
        <v>0</v>
      </c>
      <c r="AQ35" s="69"/>
    </row>
    <row r="36" spans="1:58" x14ac:dyDescent="0.25">
      <c r="AQ36" s="69"/>
    </row>
    <row r="38" spans="1:58" s="13" customFormat="1" ht="15.75" thickBot="1" x14ac:dyDescent="0.3">
      <c r="A38" s="13" t="s">
        <v>62</v>
      </c>
      <c r="D38" s="43"/>
      <c r="F38" s="5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</row>
    <row r="39" spans="1:58" x14ac:dyDescent="0.25">
      <c r="A39" s="21"/>
      <c r="B39" s="22"/>
      <c r="C39" s="22"/>
      <c r="D39" s="48"/>
      <c r="E39" s="22"/>
      <c r="F39" s="55"/>
      <c r="G39" s="22"/>
      <c r="H39" s="80" t="s">
        <v>82</v>
      </c>
      <c r="I39" s="80"/>
      <c r="J39" s="80"/>
      <c r="K39" s="6"/>
    </row>
    <row r="40" spans="1:58" x14ac:dyDescent="0.25">
      <c r="A40" s="23" t="s">
        <v>4</v>
      </c>
      <c r="B40" s="8" t="s">
        <v>6</v>
      </c>
      <c r="C40" s="8" t="s">
        <v>5</v>
      </c>
      <c r="D40" s="46" t="s">
        <v>37</v>
      </c>
      <c r="E40" s="8" t="s">
        <v>25</v>
      </c>
      <c r="F40" s="44" t="s">
        <v>51</v>
      </c>
      <c r="G40" s="8" t="s">
        <v>27</v>
      </c>
      <c r="H40" s="8" t="s">
        <v>29</v>
      </c>
      <c r="I40" s="8" t="s">
        <v>30</v>
      </c>
      <c r="J40" s="8" t="s">
        <v>31</v>
      </c>
      <c r="K40" s="24" t="s">
        <v>45</v>
      </c>
    </row>
    <row r="41" spans="1:58" x14ac:dyDescent="0.25">
      <c r="A41" s="23">
        <v>1</v>
      </c>
      <c r="B41" s="8" t="str">
        <f>B30</f>
        <v/>
      </c>
      <c r="C41" s="8" t="str">
        <f>C30</f>
        <v/>
      </c>
      <c r="D41" s="49" t="str">
        <f t="shared" ref="D41:D46" si="9">D16</f>
        <v>U13</v>
      </c>
      <c r="E41" s="12" t="str">
        <f>IF(B41="","",IF(($L16-$E16)/365.25&lt;13,keuzelijsten!$C$60,keuzelijsten!$C$61))</f>
        <v/>
      </c>
      <c r="F41" s="56"/>
      <c r="G41" s="12" t="str">
        <f>IF(M16="","",IF(L16="","",IF(B41="","",(IF(M16=keuzelijsten!K$2,VLOOKUP(Inschrijvingsformulier!L16,keuzelijsten!$J$2:$Q$13,2,FALSE),IF(M16=keuzelijsten!L$2,VLOOKUP(Inschrijvingsformulier!L16,keuzelijsten!$J$2:$Q$13,3,FALSE),IF(M16=keuzelijsten!M$2,VLOOKUP(Inschrijvingsformulier!L16,keuzelijsten!$J$2:$Q$13,4,FALSE),IF(M16=keuzelijsten!N$2,VLOOKUP(Inschrijvingsformulier!L16,keuzelijsten!$J$2:$Q$13,5,FALSE),IF(M16=keuzelijsten!O$2,VLOOKUP(Inschrijvingsformulier!L16,keuzelijsten!$J$2:$Q$13,6,FALSE),IF(M16=keuzelijsten!P$2,VLOOKUP(Inschrijvingsformulier!L16,keuzelijsten!$J$2:$Q$13,7,FALSE),IF(M16=keuzelijsten!Q$2,VLOOKUP(Inschrijvingsformulier!L16,keuzelijsten!$J$2:$Q$13,7,FALSE),"")))))))))))</f>
        <v/>
      </c>
      <c r="H41" s="12" t="str">
        <f>IF(M16=keuzelijsten!$B$18,keuzelijsten!D$50,IF(M16=keuzelijsten!$B$19,keuzelijsten!D$50,IF(O16="","",IF(O16=keuzelijsten!$C$4,"",IF(P16=keuzelijsten!$C$3,"",IF(L16=keuzelijsten!D$3,VLOOKUP(D41,keuzelijsten!$B$56:$C$57,2,FALSE),(CEILING(VLOOKUP(Inschrijvingsformulier!L16,keuzelijsten!$D$3:$E$13,2,FALSE)*VLOOKUP(D41,keuzelijsten!$B$56:$D$57,3,FALSE),1))))))))</f>
        <v/>
      </c>
      <c r="I41" s="12" t="str">
        <f>IF(P16=keuzelijsten!$C$4,"",IF(P16="","",IF(O16=keuzelijsten!$C$3,IF(Inschrijvingsformulier!D41=keuzelijsten!$F$3,keuzelijsten!$F$56,keuzelijsten!$F$57),"")))</f>
        <v/>
      </c>
      <c r="J41" s="12" t="str">
        <f>IF(I41="","",I41/6)</f>
        <v/>
      </c>
      <c r="K41" s="25">
        <f>IF(E$29=keuzelijsten!B$65,Inschrijvingsformulier!G30+Inschrijvingsformulier!I30,Inschrijvingsformulier!I30)</f>
        <v>0</v>
      </c>
    </row>
    <row r="42" spans="1:58" x14ac:dyDescent="0.25">
      <c r="A42" s="23">
        <v>2</v>
      </c>
      <c r="B42" s="8" t="str">
        <f t="shared" ref="B42:B46" si="10">B31</f>
        <v/>
      </c>
      <c r="C42" s="8" t="str">
        <f t="shared" ref="C42:C46" si="11">C31</f>
        <v/>
      </c>
      <c r="D42" s="49" t="str">
        <f t="shared" si="9"/>
        <v>U13</v>
      </c>
      <c r="E42" s="12" t="str">
        <f>IF(B42="","",IF(($L17-$E17)/365.25&lt;13,keuzelijsten!$C$60,keuzelijsten!$C$61))</f>
        <v/>
      </c>
      <c r="F42" s="56"/>
      <c r="G42" s="12" t="str">
        <f>IF(M17="","",IF(L17="","",IF(B42="","",(IF(M17=keuzelijsten!K$2,VLOOKUP(Inschrijvingsformulier!L17,keuzelijsten!$J$2:$Q$13,2,FALSE),IF(M17=keuzelijsten!L$2,VLOOKUP(Inschrijvingsformulier!L17,keuzelijsten!$J$2:$Q$13,3,FALSE),IF(M17=keuzelijsten!M$2,VLOOKUP(Inschrijvingsformulier!L17,keuzelijsten!$J$2:$Q$13,4,FALSE),IF(M17=keuzelijsten!N$2,VLOOKUP(Inschrijvingsformulier!L17,keuzelijsten!$J$2:$Q$13,5,FALSE),IF(M17=keuzelijsten!O$2,VLOOKUP(Inschrijvingsformulier!L17,keuzelijsten!$J$2:$Q$13,6,FALSE),IF(M17=keuzelijsten!P$2,VLOOKUP(Inschrijvingsformulier!L17,keuzelijsten!$J$2:$Q$13,7,FALSE),IF(M17=keuzelijsten!Q$2,VLOOKUP(Inschrijvingsformulier!L17,keuzelijsten!$J$2:$Q$13,7,FALSE),"")))))))))))</f>
        <v/>
      </c>
      <c r="H42" s="12" t="str">
        <f>IF(M17=keuzelijsten!$B$18,keuzelijsten!D$50,IF(M17=keuzelijsten!$B$19,keuzelijsten!D$50,IF(O17="","",IF(O17=keuzelijsten!$C$4,"",IF(P17=keuzelijsten!$C$3,"",IF(L17=keuzelijsten!D$3,VLOOKUP(D42,keuzelijsten!$B$56:$C$57,2,FALSE),(CEILING(VLOOKUP(Inschrijvingsformulier!L17,keuzelijsten!$D$3:$E$13,2,FALSE)*VLOOKUP(D42,keuzelijsten!$B$56:$D$57,3,FALSE),1))))))))</f>
        <v/>
      </c>
      <c r="I42" s="12" t="str">
        <f>IF(P17=keuzelijsten!$C$4,"",IF(P17="","",IF(O17=keuzelijsten!$C$3,IF(Inschrijvingsformulier!D42=keuzelijsten!$F$3,keuzelijsten!$F$56,keuzelijsten!$F$57),"")))</f>
        <v/>
      </c>
      <c r="J42" s="12" t="str">
        <f t="shared" ref="J42:J46" si="12">IF(I42="","",I42/6)</f>
        <v/>
      </c>
      <c r="K42" s="25">
        <f>IF(E$29=keuzelijsten!B$65,Inschrijvingsformulier!G31+Inschrijvingsformulier!I31,Inschrijvingsformulier!I31)</f>
        <v>0</v>
      </c>
    </row>
    <row r="43" spans="1:58" x14ac:dyDescent="0.25">
      <c r="A43" s="23">
        <v>3</v>
      </c>
      <c r="B43" s="8" t="str">
        <f t="shared" si="10"/>
        <v/>
      </c>
      <c r="C43" s="8" t="str">
        <f t="shared" si="11"/>
        <v/>
      </c>
      <c r="D43" s="49" t="str">
        <f t="shared" si="9"/>
        <v>U13</v>
      </c>
      <c r="E43" s="12" t="str">
        <f>IF(B43="","",IF(($L18-$E18)/365.25&lt;13,keuzelijsten!$C$60,keuzelijsten!$C$61))</f>
        <v/>
      </c>
      <c r="F43" s="56"/>
      <c r="G43" s="12" t="str">
        <f>IF(M18="","",IF(L18="","",IF(B43="","",(IF(M18=keuzelijsten!K$2,VLOOKUP(Inschrijvingsformulier!L18,keuzelijsten!$J$2:$Q$13,2,FALSE),IF(M18=keuzelijsten!L$2,VLOOKUP(Inschrijvingsformulier!L18,keuzelijsten!$J$2:$Q$13,3,FALSE),IF(M18=keuzelijsten!M$2,VLOOKUP(Inschrijvingsformulier!L18,keuzelijsten!$J$2:$Q$13,4,FALSE),IF(M18=keuzelijsten!N$2,VLOOKUP(Inschrijvingsformulier!L18,keuzelijsten!$J$2:$Q$13,5,FALSE),IF(M18=keuzelijsten!O$2,VLOOKUP(Inschrijvingsformulier!L18,keuzelijsten!$J$2:$Q$13,6,FALSE),IF(M18=keuzelijsten!P$2,VLOOKUP(Inschrijvingsformulier!L18,keuzelijsten!$J$2:$Q$13,7,FALSE),IF(M18=keuzelijsten!Q$2,VLOOKUP(Inschrijvingsformulier!L18,keuzelijsten!$J$2:$Q$13,7,FALSE),"")))))))))))</f>
        <v/>
      </c>
      <c r="H43" s="12" t="str">
        <f>IF(M18=keuzelijsten!$B$18,keuzelijsten!D$50,IF(M18=keuzelijsten!$B$19,keuzelijsten!D$50,IF(O18="","",IF(O18=keuzelijsten!$C$4,"",IF(P18=keuzelijsten!$C$3,"",IF(L18=keuzelijsten!D$3,VLOOKUP(D43,keuzelijsten!$B$56:$C$57,2,FALSE),(CEILING(VLOOKUP(Inschrijvingsformulier!L18,keuzelijsten!$D$3:$E$13,2,FALSE)*VLOOKUP(D43,keuzelijsten!$B$56:$D$57,3,FALSE),1))))))))</f>
        <v/>
      </c>
      <c r="I43" s="12" t="str">
        <f>IF(P18=keuzelijsten!$C$4,"",IF(P18="","",IF(O18=keuzelijsten!$C$3,IF(Inschrijvingsformulier!D43=keuzelijsten!$F$3,keuzelijsten!$F$56,keuzelijsten!$F$57),"")))</f>
        <v/>
      </c>
      <c r="J43" s="12" t="str">
        <f t="shared" si="12"/>
        <v/>
      </c>
      <c r="K43" s="25">
        <f>IF(E$29=keuzelijsten!B$65,Inschrijvingsformulier!G32+Inschrijvingsformulier!I32,Inschrijvingsformulier!I32)</f>
        <v>0</v>
      </c>
    </row>
    <row r="44" spans="1:58" x14ac:dyDescent="0.25">
      <c r="A44" s="23">
        <v>4</v>
      </c>
      <c r="B44" s="8" t="str">
        <f t="shared" si="10"/>
        <v/>
      </c>
      <c r="C44" s="8" t="str">
        <f t="shared" si="11"/>
        <v/>
      </c>
      <c r="D44" s="49" t="str">
        <f t="shared" si="9"/>
        <v>U13</v>
      </c>
      <c r="E44" s="12" t="str">
        <f>IF(B44="","",IF(($L19-$E19)/365.25&lt;13,keuzelijsten!$C$60,keuzelijsten!$C$61))</f>
        <v/>
      </c>
      <c r="F44" s="56"/>
      <c r="G44" s="12" t="str">
        <f>IF(M19="","",IF(L19="","",IF(B44="","",(IF(M19=keuzelijsten!K$2,VLOOKUP(Inschrijvingsformulier!L19,keuzelijsten!$J$2:$Q$13,2,FALSE),IF(M19=keuzelijsten!L$2,VLOOKUP(Inschrijvingsformulier!L19,keuzelijsten!$J$2:$Q$13,3,FALSE),IF(M19=keuzelijsten!M$2,VLOOKUP(Inschrijvingsformulier!L19,keuzelijsten!$J$2:$Q$13,4,FALSE),IF(M19=keuzelijsten!N$2,VLOOKUP(Inschrijvingsformulier!L19,keuzelijsten!$J$2:$Q$13,5,FALSE),IF(M19=keuzelijsten!O$2,VLOOKUP(Inschrijvingsformulier!L19,keuzelijsten!$J$2:$Q$13,6,FALSE),IF(M19=keuzelijsten!P$2,VLOOKUP(Inschrijvingsformulier!L19,keuzelijsten!$J$2:$Q$13,7,FALSE),IF(M19=keuzelijsten!Q$2,VLOOKUP(Inschrijvingsformulier!L19,keuzelijsten!$J$2:$Q$13,7,FALSE),"")))))))))))</f>
        <v/>
      </c>
      <c r="H44" s="12" t="str">
        <f>IF(M19=keuzelijsten!$B$18,keuzelijsten!D$50,IF(M19=keuzelijsten!$B$19,keuzelijsten!D$50,IF(O19="","",IF(O19=keuzelijsten!$C$4,"",IF(P19=keuzelijsten!$C$3,"",IF(L19=keuzelijsten!D$3,VLOOKUP(D44,keuzelijsten!$B$56:$C$57,2,FALSE),(CEILING(VLOOKUP(Inschrijvingsformulier!L19,keuzelijsten!$D$3:$E$13,2,FALSE)*VLOOKUP(D44,keuzelijsten!$B$56:$D$57,3,FALSE),1))))))))</f>
        <v/>
      </c>
      <c r="I44" s="12" t="str">
        <f>IF(P19=keuzelijsten!$C$4,"",IF(P19="","",IF(O19=keuzelijsten!$C$3,IF(Inschrijvingsformulier!D44=keuzelijsten!$F$3,keuzelijsten!$F$56,keuzelijsten!$F$57),"")))</f>
        <v/>
      </c>
      <c r="J44" s="12" t="str">
        <f t="shared" si="12"/>
        <v/>
      </c>
      <c r="K44" s="25">
        <f>IF(E$29=keuzelijsten!B$65,Inschrijvingsformulier!G33+Inschrijvingsformulier!I33,Inschrijvingsformulier!I33)</f>
        <v>0</v>
      </c>
    </row>
    <row r="45" spans="1:58" x14ac:dyDescent="0.25">
      <c r="A45" s="23">
        <v>5</v>
      </c>
      <c r="B45" s="8" t="str">
        <f t="shared" si="10"/>
        <v/>
      </c>
      <c r="C45" s="8" t="str">
        <f t="shared" si="11"/>
        <v/>
      </c>
      <c r="D45" s="49" t="str">
        <f t="shared" si="9"/>
        <v>U13</v>
      </c>
      <c r="E45" s="12" t="str">
        <f>IF(B45="","",IF(($L20-$E20)/365.25&lt;13,keuzelijsten!$C$60,keuzelijsten!$C$61))</f>
        <v/>
      </c>
      <c r="F45" s="56"/>
      <c r="G45" s="12" t="str">
        <f>IF(M20="","",IF(L20="","",IF(B45="","",(IF(M20=keuzelijsten!K$2,VLOOKUP(Inschrijvingsformulier!L20,keuzelijsten!$J$2:$Q$13,2,FALSE),IF(M20=keuzelijsten!L$2,VLOOKUP(Inschrijvingsformulier!L20,keuzelijsten!$J$2:$Q$13,3,FALSE),IF(M20=keuzelijsten!M$2,VLOOKUP(Inschrijvingsformulier!L20,keuzelijsten!$J$2:$Q$13,4,FALSE),IF(M20=keuzelijsten!N$2,VLOOKUP(Inschrijvingsformulier!L20,keuzelijsten!$J$2:$Q$13,5,FALSE),IF(M20=keuzelijsten!O$2,VLOOKUP(Inschrijvingsformulier!L20,keuzelijsten!$J$2:$Q$13,6,FALSE),IF(M20=keuzelijsten!P$2,VLOOKUP(Inschrijvingsformulier!L20,keuzelijsten!$J$2:$Q$13,7,FALSE),IF(M20=keuzelijsten!Q$2,VLOOKUP(Inschrijvingsformulier!L20,keuzelijsten!$J$2:$Q$13,7,FALSE),"")))))))))))</f>
        <v/>
      </c>
      <c r="H45" s="12" t="str">
        <f>IF(M20=keuzelijsten!$B$18,keuzelijsten!D$50,IF(M20=keuzelijsten!$B$19,keuzelijsten!D$50,IF(O20="","",IF(O20=keuzelijsten!$C$4,"",IF(P20=keuzelijsten!$C$3,"",IF(L20=keuzelijsten!D$3,VLOOKUP(D45,keuzelijsten!$B$56:$C$57,2,FALSE),(CEILING(VLOOKUP(Inschrijvingsformulier!L20,keuzelijsten!$D$3:$E$13,2,FALSE)*VLOOKUP(D45,keuzelijsten!$B$56:$D$57,3,FALSE),1))))))))</f>
        <v/>
      </c>
      <c r="I45" s="12" t="str">
        <f>IF(P20=keuzelijsten!$C$4,"",IF(P20="","",IF(O20=keuzelijsten!$C$3,IF(Inschrijvingsformulier!D45=keuzelijsten!$F$3,keuzelijsten!$F$56,keuzelijsten!$F$57),"")))</f>
        <v/>
      </c>
      <c r="J45" s="12" t="str">
        <f t="shared" si="12"/>
        <v/>
      </c>
      <c r="K45" s="25">
        <f>IF(E$29=keuzelijsten!B$65,Inschrijvingsformulier!G34+Inschrijvingsformulier!I34,Inschrijvingsformulier!I34)</f>
        <v>0</v>
      </c>
    </row>
    <row r="46" spans="1:58" ht="15.75" thickBot="1" x14ac:dyDescent="0.3">
      <c r="A46" s="23">
        <v>6</v>
      </c>
      <c r="B46" s="8" t="str">
        <f t="shared" si="10"/>
        <v/>
      </c>
      <c r="C46" s="8" t="str">
        <f t="shared" si="11"/>
        <v/>
      </c>
      <c r="D46" s="49" t="str">
        <f t="shared" si="9"/>
        <v>U13</v>
      </c>
      <c r="E46" s="12" t="str">
        <f>IF(B46="","",IF(($L21-$E21)/365.25&lt;13,keuzelijsten!$C$60,keuzelijsten!$C$61))</f>
        <v/>
      </c>
      <c r="F46" s="56"/>
      <c r="G46" s="12" t="str">
        <f>IF(M21="","",IF(L21="","",IF(B46="","",(IF(M21=keuzelijsten!K$2,VLOOKUP(Inschrijvingsformulier!L21,keuzelijsten!$J$2:$Q$13,2,FALSE),IF(M21=keuzelijsten!L$2,VLOOKUP(Inschrijvingsformulier!L21,keuzelijsten!$J$2:$Q$13,3,FALSE),IF(M21=keuzelijsten!M$2,VLOOKUP(Inschrijvingsformulier!L21,keuzelijsten!$J$2:$Q$13,4,FALSE),IF(M21=keuzelijsten!N$2,VLOOKUP(Inschrijvingsformulier!L21,keuzelijsten!$J$2:$Q$13,5,FALSE),IF(M21=keuzelijsten!O$2,VLOOKUP(Inschrijvingsformulier!L21,keuzelijsten!$J$2:$Q$13,6,FALSE),IF(M21=keuzelijsten!P$2,VLOOKUP(Inschrijvingsformulier!L21,keuzelijsten!$J$2:$Q$13,7,FALSE),IF(M21=keuzelijsten!Q$2,VLOOKUP(Inschrijvingsformulier!L21,keuzelijsten!$J$2:$Q$13,7,FALSE),"")))))))))))</f>
        <v/>
      </c>
      <c r="H46" s="12" t="str">
        <f>IF(M21=keuzelijsten!$B$18,keuzelijsten!D$50,IF(M21=keuzelijsten!$B$19,keuzelijsten!D$50,IF(O21="","",IF(O21=keuzelijsten!$C$4,"",IF(P21=keuzelijsten!$C$3,"",IF(L21=keuzelijsten!D$3,VLOOKUP(D46,keuzelijsten!$B$56:$C$57,2,FALSE),(CEILING(VLOOKUP(Inschrijvingsformulier!L21,keuzelijsten!$D$3:$E$13,2,FALSE)*VLOOKUP(D46,keuzelijsten!$B$56:$D$57,3,FALSE),1))))))))</f>
        <v/>
      </c>
      <c r="I46" s="12" t="str">
        <f>IF(P21=keuzelijsten!$C$4,"",IF(P21="","",IF(O21=keuzelijsten!$C$3,IF(Inschrijvingsformulier!D46=keuzelijsten!$F$3,keuzelijsten!$F$56,keuzelijsten!$F$57),"")))</f>
        <v/>
      </c>
      <c r="J46" s="12" t="str">
        <f t="shared" si="12"/>
        <v/>
      </c>
      <c r="K46" s="25">
        <f>IF(E$29=keuzelijsten!B$65,Inschrijvingsformulier!G35+Inschrijvingsformulier!I35,Inschrijvingsformulier!I35)</f>
        <v>0</v>
      </c>
    </row>
    <row r="47" spans="1:58" ht="15.75" thickBot="1" x14ac:dyDescent="0.3">
      <c r="A47" s="14" t="s">
        <v>26</v>
      </c>
      <c r="B47" s="15"/>
      <c r="C47" s="15"/>
      <c r="D47" s="50"/>
      <c r="E47" s="26" t="str">
        <f>IF(OR($A$23=FALSE,$A$24=FALSE),"",IF(SUM(E41:E46)&gt;keuzelijsten!C62,keuzelijsten!C62,SUM(Inschrijvingsformulier!E41:E46)))</f>
        <v/>
      </c>
      <c r="F47" s="57"/>
      <c r="G47" s="26" t="str">
        <f>IF(OR($A$23=FALSE,$A$24=FALSE),"",SUM(G41:G46))</f>
        <v/>
      </c>
      <c r="H47" s="26" t="str">
        <f>IF(OR($A$23=FALSE,$A$24=FALSE),"",SUM(H41:H46))</f>
        <v/>
      </c>
      <c r="I47" s="26" t="str">
        <f>IF(OR($A$23=FALSE,$A$24=FALSE),"",SUM(I41:I46))</f>
        <v/>
      </c>
      <c r="J47" s="28" t="str">
        <f>IF(OR($A$23=FALSE,$A$24=FALSE),"",SUM(J41:J46))</f>
        <v/>
      </c>
      <c r="K47" s="27" t="str">
        <f>IF(OR($A$23=FALSE,$A$24=FALSE),"",IF(E$29=keuzelijsten!B$65,SUM(K41:K46),G29+SUM(K41:K46)))</f>
        <v/>
      </c>
      <c r="L47" s="62" t="str">
        <f>IF(OR($A$23=FALSE,$A$24=FALSE),"Prijzen worden pas berekend na acceptatatie van","")</f>
        <v>Prijzen worden pas berekend na acceptatatie van</v>
      </c>
      <c r="M47" s="62"/>
    </row>
    <row r="48" spans="1:58" x14ac:dyDescent="0.25">
      <c r="L48" s="62" t="str">
        <f>IF(OR($A$23=FALSE,$A$24=FALSE),"het Huishoudelijk Reglement en de Privacy Verklaring","")</f>
        <v>het Huishoudelijk Reglement en de Privacy Verklaring</v>
      </c>
    </row>
    <row r="49" spans="3:7" ht="21.75" customHeight="1" x14ac:dyDescent="0.25">
      <c r="C49" s="39" t="str">
        <f>IF(C5="","Betaling op rekening nummer BE61 0682 2114 9317  van Koninklijke Skiclub Zondal vzw met vermelding van Lidmaatschap + Familienaam","Betaling op rekening nummer BE61 0682 2114 9317  van Koninklijke Skiclub Zondal vzw met vermelding van Lidmaatschap: "&amp;C5)</f>
        <v>Betaling op rekening nummer BE61 0682 2114 9317  van Koninklijke Skiclub Zondal vzw met vermelding van Lidmaatschap + Familienaam</v>
      </c>
    </row>
    <row r="50" spans="3:7" ht="21.75" customHeight="1" x14ac:dyDescent="0.25">
      <c r="C50" s="39" t="s">
        <v>90</v>
      </c>
    </row>
    <row r="52" spans="3:7" x14ac:dyDescent="0.25">
      <c r="C52" s="8" t="s">
        <v>58</v>
      </c>
      <c r="D52" s="46" t="s">
        <v>51</v>
      </c>
      <c r="E52" s="8" t="s">
        <v>53</v>
      </c>
    </row>
    <row r="53" spans="3:7" x14ac:dyDescent="0.25">
      <c r="C53" s="10" t="s">
        <v>47</v>
      </c>
      <c r="D53" s="46"/>
      <c r="E53" s="37" t="str">
        <f>IF(OR($A$23=FALSE,$A$24=FALSE),"",SUM(E47,G47,H47,K47))</f>
        <v/>
      </c>
    </row>
    <row r="54" spans="3:7" x14ac:dyDescent="0.25">
      <c r="C54" s="9">
        <v>44044</v>
      </c>
      <c r="D54" s="46"/>
      <c r="E54" s="37" t="str">
        <f t="shared" ref="E54:E59" si="13">IF(OR($A$23=FALSE,$A$24=FALSE),"",$J$47)</f>
        <v/>
      </c>
    </row>
    <row r="55" spans="3:7" x14ac:dyDescent="0.25">
      <c r="C55" s="9">
        <v>44075</v>
      </c>
      <c r="D55" s="46"/>
      <c r="E55" s="37" t="str">
        <f t="shared" si="13"/>
        <v/>
      </c>
    </row>
    <row r="56" spans="3:7" x14ac:dyDescent="0.25">
      <c r="C56" s="9">
        <v>44105</v>
      </c>
      <c r="D56" s="46"/>
      <c r="E56" s="37" t="str">
        <f t="shared" si="13"/>
        <v/>
      </c>
    </row>
    <row r="57" spans="3:7" x14ac:dyDescent="0.25">
      <c r="C57" s="9">
        <v>44136</v>
      </c>
      <c r="D57" s="46"/>
      <c r="E57" s="37" t="str">
        <f t="shared" si="13"/>
        <v/>
      </c>
    </row>
    <row r="58" spans="3:7" x14ac:dyDescent="0.25">
      <c r="C58" s="9">
        <v>44166</v>
      </c>
      <c r="D58" s="46"/>
      <c r="E58" s="37" t="str">
        <f t="shared" si="13"/>
        <v/>
      </c>
    </row>
    <row r="59" spans="3:7" x14ac:dyDescent="0.25">
      <c r="C59" s="9">
        <v>44197</v>
      </c>
      <c r="D59" s="46"/>
      <c r="E59" s="37" t="str">
        <f t="shared" si="13"/>
        <v/>
      </c>
    </row>
    <row r="60" spans="3:7" x14ac:dyDescent="0.25">
      <c r="C60" s="8" t="s">
        <v>26</v>
      </c>
      <c r="D60" s="46"/>
      <c r="E60" s="38" t="str">
        <f>IF(OR($A$23=FALSE,$A$24=FALSE),"",SUM(E53:E59))</f>
        <v/>
      </c>
      <c r="G60" s="62" t="str">
        <f>IF(OR($A$23=FALSE,$A$24=FALSE),"Prijzen worden pas berekend na acceptatatie van","")</f>
        <v>Prijzen worden pas berekend na acceptatatie van</v>
      </c>
    </row>
    <row r="61" spans="3:7" x14ac:dyDescent="0.25">
      <c r="G61" s="62" t="str">
        <f>IF(OR($A$23=FALSE,$A$24=FALSE),"het Huishoudelijk Reglement en de Privacy Verklaring","")</f>
        <v>het Huishoudelijk Reglement en de Privacy Verklaring</v>
      </c>
    </row>
  </sheetData>
  <sheetProtection algorithmName="SHA-512" hashValue="HUOHEkx5lR9w1zeImBqFzxuE6/DEArTvqzN/MJmcdE0QUjibZ2lWRQL6SZ8TjwKZe65T/RrRBMfB9teyUt8dpQ==" saltValue="KtVSSx/6coTFSiHmLXCx8g==" spinCount="100000" sheet="1" objects="1" scenarios="1" selectLockedCells="1"/>
  <mergeCells count="8">
    <mergeCell ref="H39:J39"/>
    <mergeCell ref="A5:B5"/>
    <mergeCell ref="A6:B6"/>
    <mergeCell ref="A7:B7"/>
    <mergeCell ref="A8:B8"/>
    <mergeCell ref="A9:B9"/>
    <mergeCell ref="B24:G24"/>
    <mergeCell ref="B23:G23"/>
  </mergeCells>
  <hyperlinks>
    <hyperlink ref="B24:G24" r:id="rId1" display="Ik/wij ga/gaan akkoord met de Privacy Verklaring van Koninlkijke Skiclub Zondal vzw." xr:uid="{4B29D385-979F-41D3-A9E7-A2EC04761949}"/>
    <hyperlink ref="B23:H23" r:id="rId2" display="Ik/wij ga/gaan akkoord met het Huishoudelijk Reglement en de geldende gedragscodes." xr:uid="{6EFDB91B-878F-46D8-B1C2-6129E219CA15}"/>
    <hyperlink ref="B23:G23" r:id="rId3" display="Ik/wij ga/gaan akkoord met het Huishoudelijk Reglement en de geldende gedragscodes." xr:uid="{8CB2B521-C499-409A-9BD8-2BE4B57E73F8}"/>
  </hyperlinks>
  <pageMargins left="0.23622047244094491" right="0.23622047244094491" top="0.35433070866141736" bottom="0.35433070866141736" header="0.31496062992125984" footer="0.31496062992125984"/>
  <pageSetup paperSize="9" scale="54" orientation="landscape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7" name="Check Box 3">
              <controlPr locked="0" defaultSize="0" autoFill="0" autoLine="0" autoPict="0">
                <anchor moveWithCells="1">
                  <from>
                    <xdr:col>0</xdr:col>
                    <xdr:colOff>95250</xdr:colOff>
                    <xdr:row>22</xdr:row>
                    <xdr:rowOff>0</xdr:rowOff>
                  </from>
                  <to>
                    <xdr:col>1</xdr:col>
                    <xdr:colOff>685800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locked="0" defaultSize="0" autoFill="0" autoLine="0" autoPict="0">
                <anchor moveWithCells="1">
                  <from>
                    <xdr:col>0</xdr:col>
                    <xdr:colOff>95250</xdr:colOff>
                    <xdr:row>22</xdr:row>
                    <xdr:rowOff>180975</xdr:rowOff>
                  </from>
                  <to>
                    <xdr:col>1</xdr:col>
                    <xdr:colOff>685800</xdr:colOff>
                    <xdr:row>24</xdr:row>
                    <xdr:rowOff>9525</xdr:rowOff>
                  </to>
                </anchor>
              </controlPr>
            </control>
          </mc:Choice>
        </mc:AlternateContent>
      </controls>
    </mc:Choice>
  </mc:AlternateContent>
  <tableParts count="4">
    <tablePart r:id="rId9"/>
    <tablePart r:id="rId10"/>
    <tablePart r:id="rId11"/>
    <tablePart r:id="rId1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F24A82C8-8F93-4FEF-B76E-3C9A97FC2C88}">
            <xm:f>($E$29&lt;&gt;keuzelijsten!$B$65)</xm:f>
            <x14:dxf>
              <font>
                <color theme="1" tint="0.499984740745262"/>
              </font>
              <fill>
                <patternFill patternType="solid">
                  <bgColor theme="1" tint="0.499984740745262"/>
                </patternFill>
              </fill>
            </x14:dxf>
          </x14:cfRule>
          <xm:sqref>D30:G35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397" yWindow="587" count="14">
        <x14:dataValidation type="list" allowBlank="1" showInputMessage="1" showErrorMessage="1" xr:uid="{00000000-0002-0000-0000-000001000000}">
          <x14:formula1>
            <xm:f>keuzelijsten!$A$2:$A$4</xm:f>
          </x14:formula1>
          <xm:sqref>G16:G22</xm:sqref>
        </x14:dataValidation>
        <x14:dataValidation type="list" allowBlank="1" showInputMessage="1" showErrorMessage="1" xr:uid="{00000000-0002-0000-0000-000002000000}">
          <x14:formula1>
            <xm:f>IF(L16=keuzelijsten!$D$3,keuzelijsten!$C$3:$C$4,keuzelijsten!$C$4)</xm:f>
          </x14:formula1>
          <xm:sqref>P16:P24</xm:sqref>
        </x14:dataValidation>
        <x14:dataValidation type="list" allowBlank="1" showInputMessage="1" showErrorMessage="1" xr:uid="{00000000-0002-0000-0000-000003000000}">
          <x14:formula1>
            <xm:f>keuzelijsten!$B$65:$B$68</xm:f>
          </x14:formula1>
          <xm:sqref>F30:F35</xm:sqref>
        </x14:dataValidation>
        <x14:dataValidation type="list" allowBlank="1" showInputMessage="1" showErrorMessage="1" xr:uid="{00000000-0002-0000-0000-000004000000}">
          <x14:formula1>
            <xm:f>IF($M$25&gt;2,keuzelijsten!$B$65:$B$68,keuzelijsten!$B$65)</xm:f>
          </x14:formula1>
          <xm:sqref>F29</xm:sqref>
        </x14:dataValidation>
        <x14:dataValidation type="list" allowBlank="1" showInputMessage="1" showErrorMessage="1" prompt="Selecteer hier de verzekeringsformule voor het hele gezin of geef aan dat je ieder lid individueel wil verzekeren." xr:uid="{00000000-0002-0000-0000-000005000000}">
          <x14:formula1>
            <xm:f>IF($M$25&gt;2,keuzelijsten!$B$65:$B$68,keuzelijsten!$B$65)</xm:f>
          </x14:formula1>
          <xm:sqref>E29</xm:sqref>
        </x14:dataValidation>
        <x14:dataValidation type="list" allowBlank="1" showInputMessage="1" showErrorMessage="1" xr:uid="{00000000-0002-0000-0000-000006000000}">
          <x14:formula1>
            <xm:f>keuzelijsten!$B$66:$B$68</xm:f>
          </x14:formula1>
          <xm:sqref>E30:E35</xm:sqref>
        </x14:dataValidation>
        <x14:dataValidation type="list" allowBlank="1" showInputMessage="1" showErrorMessage="1" xr:uid="{4716FD45-1966-4C34-8470-28CAB25931D5}">
          <x14:formula1>
            <xm:f>keuzelijsten!$C$3:$C$4</xm:f>
          </x14:formula1>
          <xm:sqref>N16:N21</xm:sqref>
        </x14:dataValidation>
        <x14:dataValidation type="list" allowBlank="1" showInputMessage="1" showErrorMessage="1" xr:uid="{00000000-0002-0000-0000-000000000000}">
          <x14:formula1>
            <xm:f>keuzelijsten!$D$3:$D$13</xm:f>
          </x14:formula1>
          <xm:sqref>L16:L24</xm:sqref>
        </x14:dataValidation>
        <x14:dataValidation type="list" allowBlank="1" showInputMessage="1" showErrorMessage="1" xr:uid="{00000000-0002-0000-0000-000008000000}">
          <x14:formula1>
            <xm:f>IF(B22="",keuzelijsten!$C$4,IF(M22=keuzelijsten!$B$15,keuzelijsten!$C$4,IF(M22=keuzelijsten!$B$22,keuzelijsten!$C$4,keuzelijsten!$C$3:$C$4)))</xm:f>
          </x14:formula1>
          <xm:sqref>O22:O24</xm:sqref>
        </x14:dataValidation>
        <x14:dataValidation type="list" allowBlank="1" showInputMessage="1" showErrorMessage="1" promptTitle="Lidmaatschap" prompt="Selecteer hier voor welk lidmaatschap je wil inschrijven." xr:uid="{00000000-0002-0000-0000-000007000000}">
          <x14:formula1>
            <xm:f>IF(D22=keuzelijsten!$F$3,keuzelijsten!$B$2:$B$22,keuzelijsten!$B$23:$B$30)</xm:f>
          </x14:formula1>
          <xm:sqref>M22:N24</xm:sqref>
        </x14:dataValidation>
        <x14:dataValidation type="list" allowBlank="1" showInputMessage="1" showErrorMessage="1" xr:uid="{344928FE-B81C-4A61-8A44-23EFC2C0AD1F}">
          <x14:formula1>
            <xm:f>IF(M16="",keuzelijsten!$F$18,IF(B16="",keuzelijsten!$C$4,IF(OR(M16=keuzelijsten!$B$16,M16=keuzelijsten!$B$17,M16=keuzelijsten!$B$20,M16=keuzelijsten!$B$21),keuzelijsten!$C$3:$C$4,keuzelijsten!$C$4)))</xm:f>
          </x14:formula1>
          <xm:sqref>O16:O21</xm:sqref>
        </x14:dataValidation>
        <x14:dataValidation type="list" allowBlank="1" showInputMessage="1" showErrorMessage="1" xr:uid="{00000000-0002-0000-0000-000009000000}">
          <x14:formula1>
            <xm:f>IF(F30=keuzelijsten!$B$66,keuzelijsten!$C$4:$C$4,keuzelijsten!$C$3:$C$4)</xm:f>
          </x14:formula1>
          <xm:sqref>H30:H35</xm:sqref>
        </x14:dataValidation>
        <x14:dataValidation type="list" allowBlank="1" showInputMessage="1" showErrorMessage="1" promptTitle="Lidmaatschap" prompt="Selecteer hier voor welk lidmaatschap je wil inschrijven." xr:uid="{649E64E2-15CF-4DDE-A7A6-CACFCD56F3E7}">
          <x14:formula1>
            <xm:f>IF(L17="",keuzelijsten!$F$15,IF(AND(L17&gt;=keuzelijsten!D$6,L17&lt;=keuzelijsten!D$9),IF(D17=keuzelijsten!$F$3,keuzelijsten!$B$14:$B$22,keuzelijsten!$B$23:$B$30),IF(D17=keuzelijsten!$F$3,keuzelijsten!$B$32:$B$37,keuzelijsten!$B$38:$B$42)))</xm:f>
          </x14:formula1>
          <xm:sqref>M17:M21</xm:sqref>
        </x14:dataValidation>
        <x14:dataValidation type="list" allowBlank="1" showInputMessage="1" showErrorMessage="1" promptTitle="Lidmaatschap" prompt="Selecteer hier voor welk lidmaatschap je wil inschrijven." xr:uid="{22917991-7C9D-47AF-AEC1-FDF0E84AE03F}">
          <x14:formula1>
            <xm:f>IF(L16="",keuzelijsten!$F$15,IF(AND(L16&gt;=keuzelijsten!D$5,L16&lt;=keuzelijsten!D$9),IF(D16=keuzelijsten!$F$3,keuzelijsten!$B$14:$B$22,keuzelijsten!$B$23:$B$30),IF(D16=keuzelijsten!$F$3,keuzelijsten!$B$32:$B$37,keuzelijsten!$B$38:$B$42)))</xm:f>
          </x14:formula1>
          <xm:sqref>M16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Q68"/>
  <sheetViews>
    <sheetView workbookViewId="0">
      <selection activeCell="F25" sqref="F25"/>
    </sheetView>
  </sheetViews>
  <sheetFormatPr defaultRowHeight="15" x14ac:dyDescent="0.25"/>
  <cols>
    <col min="2" max="2" width="22.5703125" customWidth="1"/>
    <col min="4" max="4" width="20.5703125" bestFit="1" customWidth="1"/>
    <col min="5" max="5" width="9.28515625" style="11" customWidth="1"/>
    <col min="6" max="6" width="21" bestFit="1" customWidth="1"/>
    <col min="9" max="9" width="18" bestFit="1" customWidth="1"/>
    <col min="10" max="10" width="6.140625" bestFit="1" customWidth="1"/>
    <col min="11" max="11" width="31" bestFit="1" customWidth="1"/>
    <col min="12" max="12" width="22.7109375" bestFit="1" customWidth="1"/>
    <col min="13" max="13" width="20.140625" bestFit="1" customWidth="1"/>
    <col min="14" max="14" width="20.7109375" bestFit="1" customWidth="1"/>
    <col min="15" max="15" width="18.42578125" bestFit="1" customWidth="1"/>
    <col min="16" max="16" width="22.5703125" customWidth="1"/>
    <col min="17" max="17" width="30.85546875" bestFit="1" customWidth="1"/>
  </cols>
  <sheetData>
    <row r="1" spans="1:17" x14ac:dyDescent="0.25">
      <c r="A1" t="s">
        <v>9</v>
      </c>
      <c r="B1" t="s">
        <v>12</v>
      </c>
      <c r="C1" t="s">
        <v>19</v>
      </c>
      <c r="D1" t="s">
        <v>23</v>
      </c>
      <c r="F1" t="s">
        <v>37</v>
      </c>
    </row>
    <row r="2" spans="1:17" x14ac:dyDescent="0.25">
      <c r="J2" s="60"/>
      <c r="K2" t="s">
        <v>89</v>
      </c>
      <c r="L2" t="s">
        <v>88</v>
      </c>
      <c r="M2" t="s">
        <v>14</v>
      </c>
      <c r="N2" t="s">
        <v>63</v>
      </c>
      <c r="O2" t="s">
        <v>15</v>
      </c>
      <c r="P2" t="s">
        <v>85</v>
      </c>
      <c r="Q2" t="s">
        <v>84</v>
      </c>
    </row>
    <row r="3" spans="1:17" x14ac:dyDescent="0.25">
      <c r="A3" t="s">
        <v>17</v>
      </c>
      <c r="C3" t="s">
        <v>20</v>
      </c>
      <c r="D3" s="1">
        <v>44044</v>
      </c>
      <c r="E3" s="11">
        <f>1</f>
        <v>1</v>
      </c>
      <c r="F3" t="s">
        <v>38</v>
      </c>
      <c r="J3" s="1">
        <f>D3</f>
        <v>44044</v>
      </c>
      <c r="K3">
        <v>110</v>
      </c>
      <c r="L3">
        <v>50</v>
      </c>
      <c r="M3">
        <v>70</v>
      </c>
      <c r="N3">
        <v>70</v>
      </c>
      <c r="O3">
        <v>140</v>
      </c>
      <c r="P3">
        <v>200</v>
      </c>
      <c r="Q3">
        <v>200</v>
      </c>
    </row>
    <row r="4" spans="1:17" x14ac:dyDescent="0.25">
      <c r="A4" t="s">
        <v>18</v>
      </c>
      <c r="C4" t="s">
        <v>21</v>
      </c>
      <c r="D4" s="1">
        <v>44075</v>
      </c>
      <c r="E4" s="11">
        <f>11/12</f>
        <v>0.91666666666666663</v>
      </c>
      <c r="F4" t="str">
        <f>"+13"</f>
        <v>+13</v>
      </c>
      <c r="J4" s="1">
        <f t="shared" ref="J4:J13" si="0">D4</f>
        <v>44075</v>
      </c>
      <c r="K4">
        <v>110</v>
      </c>
      <c r="L4">
        <v>50</v>
      </c>
      <c r="M4">
        <f t="shared" ref="M4:M12" si="1">M3-6</f>
        <v>64</v>
      </c>
      <c r="N4">
        <f t="shared" ref="N4:N12" si="2">N3-6</f>
        <v>64</v>
      </c>
      <c r="O4">
        <f t="shared" ref="O4:O12" si="3">O3-12</f>
        <v>128</v>
      </c>
      <c r="P4">
        <v>200</v>
      </c>
      <c r="Q4">
        <v>200</v>
      </c>
    </row>
    <row r="5" spans="1:17" x14ac:dyDescent="0.25">
      <c r="D5" s="1">
        <v>44105</v>
      </c>
      <c r="E5" s="11">
        <f>10/12</f>
        <v>0.83333333333333337</v>
      </c>
      <c r="J5" s="1">
        <f t="shared" si="0"/>
        <v>44105</v>
      </c>
      <c r="K5">
        <v>100</v>
      </c>
      <c r="L5">
        <v>50</v>
      </c>
      <c r="M5">
        <f t="shared" si="1"/>
        <v>58</v>
      </c>
      <c r="N5">
        <f t="shared" si="2"/>
        <v>58</v>
      </c>
      <c r="O5">
        <f t="shared" si="3"/>
        <v>116</v>
      </c>
      <c r="P5">
        <v>200</v>
      </c>
      <c r="Q5">
        <v>200</v>
      </c>
    </row>
    <row r="6" spans="1:17" x14ac:dyDescent="0.25">
      <c r="D6" s="1">
        <v>44136</v>
      </c>
      <c r="E6" s="11">
        <f>9/12</f>
        <v>0.75</v>
      </c>
      <c r="J6" s="1">
        <f t="shared" si="0"/>
        <v>44136</v>
      </c>
      <c r="K6">
        <v>90</v>
      </c>
      <c r="L6">
        <v>50</v>
      </c>
      <c r="M6">
        <f t="shared" si="1"/>
        <v>52</v>
      </c>
      <c r="N6">
        <f t="shared" si="2"/>
        <v>52</v>
      </c>
      <c r="O6">
        <f t="shared" si="3"/>
        <v>104</v>
      </c>
      <c r="P6">
        <v>200</v>
      </c>
      <c r="Q6">
        <v>200</v>
      </c>
    </row>
    <row r="7" spans="1:17" x14ac:dyDescent="0.25">
      <c r="D7" s="1">
        <v>44166</v>
      </c>
      <c r="E7" s="11">
        <f>8/12</f>
        <v>0.66666666666666663</v>
      </c>
      <c r="J7" s="1">
        <f t="shared" si="0"/>
        <v>44166</v>
      </c>
      <c r="K7">
        <v>80</v>
      </c>
      <c r="L7">
        <v>50</v>
      </c>
      <c r="M7">
        <f t="shared" si="1"/>
        <v>46</v>
      </c>
      <c r="N7">
        <f t="shared" si="2"/>
        <v>46</v>
      </c>
      <c r="O7">
        <f t="shared" si="3"/>
        <v>92</v>
      </c>
      <c r="P7">
        <v>200</v>
      </c>
      <c r="Q7">
        <v>200</v>
      </c>
    </row>
    <row r="8" spans="1:17" x14ac:dyDescent="0.25">
      <c r="D8" s="1">
        <v>44197</v>
      </c>
      <c r="E8" s="11">
        <f>7/12</f>
        <v>0.58333333333333337</v>
      </c>
      <c r="J8" s="1">
        <f t="shared" si="0"/>
        <v>44197</v>
      </c>
      <c r="K8">
        <v>70</v>
      </c>
      <c r="L8">
        <v>50</v>
      </c>
      <c r="M8">
        <f t="shared" si="1"/>
        <v>40</v>
      </c>
      <c r="N8">
        <f t="shared" si="2"/>
        <v>40</v>
      </c>
      <c r="O8">
        <f t="shared" si="3"/>
        <v>80</v>
      </c>
      <c r="P8">
        <v>200</v>
      </c>
      <c r="Q8">
        <v>200</v>
      </c>
    </row>
    <row r="9" spans="1:17" x14ac:dyDescent="0.25">
      <c r="D9" s="1">
        <v>44228</v>
      </c>
      <c r="E9" s="11">
        <f>6/12</f>
        <v>0.5</v>
      </c>
      <c r="J9" s="1">
        <f t="shared" si="0"/>
        <v>44228</v>
      </c>
      <c r="K9">
        <v>60</v>
      </c>
      <c r="L9">
        <v>50</v>
      </c>
      <c r="M9">
        <f t="shared" si="1"/>
        <v>34</v>
      </c>
      <c r="N9">
        <f t="shared" si="2"/>
        <v>34</v>
      </c>
      <c r="O9">
        <f t="shared" si="3"/>
        <v>68</v>
      </c>
      <c r="P9">
        <v>200</v>
      </c>
      <c r="Q9">
        <v>200</v>
      </c>
    </row>
    <row r="10" spans="1:17" x14ac:dyDescent="0.25">
      <c r="D10" s="1">
        <v>44256</v>
      </c>
      <c r="E10" s="11">
        <f>5/12</f>
        <v>0.41666666666666669</v>
      </c>
      <c r="J10" s="1">
        <f t="shared" si="0"/>
        <v>44256</v>
      </c>
      <c r="K10">
        <v>50</v>
      </c>
      <c r="L10">
        <v>50</v>
      </c>
      <c r="M10">
        <f t="shared" si="1"/>
        <v>28</v>
      </c>
      <c r="N10">
        <f t="shared" si="2"/>
        <v>28</v>
      </c>
      <c r="O10">
        <f t="shared" si="3"/>
        <v>56</v>
      </c>
      <c r="P10">
        <v>200</v>
      </c>
      <c r="Q10">
        <v>200</v>
      </c>
    </row>
    <row r="11" spans="1:17" x14ac:dyDescent="0.25">
      <c r="D11" s="1">
        <v>44287</v>
      </c>
      <c r="E11" s="11">
        <f>4/12</f>
        <v>0.33333333333333331</v>
      </c>
      <c r="J11" s="1">
        <f t="shared" si="0"/>
        <v>44287</v>
      </c>
      <c r="K11">
        <v>40</v>
      </c>
      <c r="L11">
        <v>50</v>
      </c>
      <c r="M11">
        <f t="shared" si="1"/>
        <v>22</v>
      </c>
      <c r="N11">
        <f t="shared" si="2"/>
        <v>22</v>
      </c>
      <c r="O11">
        <f t="shared" si="3"/>
        <v>44</v>
      </c>
      <c r="P11">
        <v>200</v>
      </c>
      <c r="Q11">
        <v>200</v>
      </c>
    </row>
    <row r="12" spans="1:17" x14ac:dyDescent="0.25">
      <c r="D12" s="1">
        <v>44317</v>
      </c>
      <c r="E12" s="11">
        <f>3/12</f>
        <v>0.25</v>
      </c>
      <c r="J12" s="1">
        <f t="shared" si="0"/>
        <v>44317</v>
      </c>
      <c r="K12">
        <v>30</v>
      </c>
      <c r="L12">
        <v>50</v>
      </c>
      <c r="M12">
        <f t="shared" si="1"/>
        <v>16</v>
      </c>
      <c r="N12">
        <f t="shared" si="2"/>
        <v>16</v>
      </c>
      <c r="O12">
        <f t="shared" si="3"/>
        <v>32</v>
      </c>
      <c r="P12">
        <v>200</v>
      </c>
      <c r="Q12">
        <v>200</v>
      </c>
    </row>
    <row r="13" spans="1:17" x14ac:dyDescent="0.25">
      <c r="D13" s="1">
        <v>44348</v>
      </c>
      <c r="E13" s="11">
        <f>2/12</f>
        <v>0.16666666666666666</v>
      </c>
      <c r="J13" s="1">
        <f t="shared" si="0"/>
        <v>44348</v>
      </c>
      <c r="K13">
        <v>20</v>
      </c>
      <c r="L13">
        <v>50</v>
      </c>
      <c r="M13">
        <v>16</v>
      </c>
      <c r="N13">
        <v>16</v>
      </c>
      <c r="O13">
        <v>32</v>
      </c>
      <c r="P13">
        <v>200</v>
      </c>
      <c r="Q13">
        <v>200</v>
      </c>
    </row>
    <row r="15" spans="1:17" x14ac:dyDescent="0.25">
      <c r="B15" t="s">
        <v>13</v>
      </c>
      <c r="F15" t="s">
        <v>76</v>
      </c>
    </row>
    <row r="16" spans="1:17" x14ac:dyDescent="0.25">
      <c r="B16" t="s">
        <v>88</v>
      </c>
      <c r="F16" t="s">
        <v>74</v>
      </c>
    </row>
    <row r="17" spans="2:9" x14ac:dyDescent="0.25">
      <c r="B17" t="s">
        <v>89</v>
      </c>
    </row>
    <row r="18" spans="2:9" x14ac:dyDescent="0.25">
      <c r="B18" t="s">
        <v>85</v>
      </c>
      <c r="F18" t="s">
        <v>75</v>
      </c>
    </row>
    <row r="19" spans="2:9" x14ac:dyDescent="0.25">
      <c r="B19" t="s">
        <v>84</v>
      </c>
    </row>
    <row r="20" spans="2:9" x14ac:dyDescent="0.25">
      <c r="B20" t="s">
        <v>14</v>
      </c>
      <c r="F20" t="s">
        <v>77</v>
      </c>
    </row>
    <row r="21" spans="2:9" x14ac:dyDescent="0.25">
      <c r="B21" t="s">
        <v>15</v>
      </c>
    </row>
    <row r="22" spans="2:9" x14ac:dyDescent="0.25">
      <c r="B22" t="s">
        <v>16</v>
      </c>
    </row>
    <row r="23" spans="2:9" x14ac:dyDescent="0.25">
      <c r="I23" t="str">
        <f>IF(AND(1&lt;2,2&gt;1),"ja","nee")</f>
        <v>ja</v>
      </c>
    </row>
    <row r="24" spans="2:9" x14ac:dyDescent="0.25">
      <c r="B24" t="s">
        <v>13</v>
      </c>
    </row>
    <row r="25" spans="2:9" x14ac:dyDescent="0.25">
      <c r="B25" t="s">
        <v>88</v>
      </c>
    </row>
    <row r="26" spans="2:9" x14ac:dyDescent="0.25">
      <c r="B26" t="s">
        <v>89</v>
      </c>
    </row>
    <row r="27" spans="2:9" x14ac:dyDescent="0.25">
      <c r="B27" t="s">
        <v>85</v>
      </c>
    </row>
    <row r="28" spans="2:9" x14ac:dyDescent="0.25">
      <c r="B28" t="s">
        <v>84</v>
      </c>
    </row>
    <row r="29" spans="2:9" x14ac:dyDescent="0.25">
      <c r="B29" t="s">
        <v>15</v>
      </c>
    </row>
    <row r="30" spans="2:9" x14ac:dyDescent="0.25">
      <c r="B30" t="s">
        <v>16</v>
      </c>
    </row>
    <row r="33" spans="2:3" x14ac:dyDescent="0.25">
      <c r="B33" t="s">
        <v>13</v>
      </c>
    </row>
    <row r="34" spans="2:3" x14ac:dyDescent="0.25">
      <c r="B34" t="s">
        <v>89</v>
      </c>
    </row>
    <row r="35" spans="2:3" x14ac:dyDescent="0.25">
      <c r="B35" t="s">
        <v>14</v>
      </c>
    </row>
    <row r="36" spans="2:3" x14ac:dyDescent="0.25">
      <c r="B36" t="s">
        <v>15</v>
      </c>
    </row>
    <row r="37" spans="2:3" x14ac:dyDescent="0.25">
      <c r="B37" t="s">
        <v>16</v>
      </c>
    </row>
    <row r="39" spans="2:3" x14ac:dyDescent="0.25">
      <c r="B39" t="s">
        <v>13</v>
      </c>
    </row>
    <row r="40" spans="2:3" x14ac:dyDescent="0.25">
      <c r="B40" t="s">
        <v>89</v>
      </c>
    </row>
    <row r="41" spans="2:3" x14ac:dyDescent="0.25">
      <c r="B41" t="s">
        <v>15</v>
      </c>
    </row>
    <row r="42" spans="2:3" x14ac:dyDescent="0.25">
      <c r="B42" t="s">
        <v>16</v>
      </c>
    </row>
    <row r="45" spans="2:3" x14ac:dyDescent="0.25">
      <c r="B45" t="str">
        <f>B15</f>
        <v>Steunend lid</v>
      </c>
      <c r="C45">
        <v>0</v>
      </c>
    </row>
    <row r="46" spans="2:3" x14ac:dyDescent="0.25">
      <c r="B46" t="str">
        <f>B16</f>
        <v>Groepslessen (10 weken)</v>
      </c>
      <c r="C46">
        <v>50</v>
      </c>
    </row>
    <row r="47" spans="2:3" x14ac:dyDescent="0.25">
      <c r="B47" t="str">
        <f>B17</f>
        <v>Groepslessen (tot einde seizoen)</v>
      </c>
      <c r="C47">
        <v>110</v>
      </c>
    </row>
    <row r="48" spans="2:3" x14ac:dyDescent="0.25">
      <c r="B48" t="str">
        <f>B20</f>
        <v>Zondal Kids t.e.m. 12j</v>
      </c>
      <c r="C48">
        <v>70</v>
      </c>
    </row>
    <row r="49" spans="2:13" x14ac:dyDescent="0.25">
      <c r="B49" t="s">
        <v>63</v>
      </c>
      <c r="C49">
        <v>70</v>
      </c>
    </row>
    <row r="50" spans="2:13" x14ac:dyDescent="0.25">
      <c r="B50" t="s">
        <v>85</v>
      </c>
      <c r="C50">
        <v>200</v>
      </c>
      <c r="D50" t="s">
        <v>83</v>
      </c>
    </row>
    <row r="51" spans="2:13" x14ac:dyDescent="0.25">
      <c r="B51" t="s">
        <v>84</v>
      </c>
      <c r="C51">
        <v>200</v>
      </c>
      <c r="D51" t="s">
        <v>83</v>
      </c>
    </row>
    <row r="52" spans="2:13" x14ac:dyDescent="0.25">
      <c r="B52" t="str">
        <f>B21</f>
        <v>Zondal Racing team</v>
      </c>
      <c r="C52">
        <v>140</v>
      </c>
    </row>
    <row r="53" spans="2:13" x14ac:dyDescent="0.25">
      <c r="B53" t="str">
        <f>B22</f>
        <v>Vige</v>
      </c>
      <c r="C53">
        <v>0</v>
      </c>
    </row>
    <row r="55" spans="2:13" x14ac:dyDescent="0.25">
      <c r="B55" t="s">
        <v>28</v>
      </c>
      <c r="C55" t="s">
        <v>32</v>
      </c>
      <c r="D55" t="s">
        <v>33</v>
      </c>
      <c r="F55" t="s">
        <v>30</v>
      </c>
    </row>
    <row r="56" spans="2:13" x14ac:dyDescent="0.25">
      <c r="B56" t="str">
        <f>F3</f>
        <v>U13</v>
      </c>
      <c r="C56">
        <v>520</v>
      </c>
      <c r="D56" s="60">
        <v>610</v>
      </c>
      <c r="F56">
        <v>552</v>
      </c>
      <c r="I56">
        <f>F56/6</f>
        <v>92</v>
      </c>
      <c r="L56">
        <v>6.5000000000000002E-2</v>
      </c>
      <c r="M56">
        <f>C56*L56</f>
        <v>33.800000000000004</v>
      </c>
    </row>
    <row r="57" spans="2:13" x14ac:dyDescent="0.25">
      <c r="B57" t="str">
        <f>F4</f>
        <v>+13</v>
      </c>
      <c r="C57">
        <v>565</v>
      </c>
      <c r="D57" s="60">
        <v>660</v>
      </c>
      <c r="F57">
        <v>600</v>
      </c>
      <c r="I57">
        <f>F57/6</f>
        <v>100</v>
      </c>
      <c r="L57">
        <v>6.5000000000000002E-2</v>
      </c>
      <c r="M57">
        <f>C57*L57</f>
        <v>36.725000000000001</v>
      </c>
    </row>
    <row r="60" spans="2:13" x14ac:dyDescent="0.25">
      <c r="B60" t="s">
        <v>35</v>
      </c>
      <c r="C60">
        <v>10</v>
      </c>
    </row>
    <row r="61" spans="2:13" x14ac:dyDescent="0.25">
      <c r="B61" t="s">
        <v>34</v>
      </c>
      <c r="C61">
        <v>20</v>
      </c>
    </row>
    <row r="62" spans="2:13" x14ac:dyDescent="0.25">
      <c r="B62" t="s">
        <v>36</v>
      </c>
      <c r="C62">
        <v>40</v>
      </c>
    </row>
    <row r="65" spans="1:10" x14ac:dyDescent="0.25">
      <c r="B65" t="s">
        <v>50</v>
      </c>
      <c r="F65" t="s">
        <v>43</v>
      </c>
    </row>
    <row r="66" spans="1:10" x14ac:dyDescent="0.25">
      <c r="A66" t="s">
        <v>39</v>
      </c>
      <c r="B66" t="s">
        <v>46</v>
      </c>
      <c r="C66">
        <v>17</v>
      </c>
      <c r="F66" t="s">
        <v>46</v>
      </c>
      <c r="G66">
        <v>45</v>
      </c>
    </row>
    <row r="67" spans="1:10" x14ac:dyDescent="0.25">
      <c r="B67" t="s">
        <v>40</v>
      </c>
      <c r="C67">
        <v>34</v>
      </c>
      <c r="F67" t="s">
        <v>40</v>
      </c>
      <c r="G67">
        <v>89</v>
      </c>
      <c r="I67" t="s">
        <v>42</v>
      </c>
      <c r="J67">
        <v>20</v>
      </c>
    </row>
    <row r="68" spans="1:10" x14ac:dyDescent="0.25">
      <c r="B68" t="s">
        <v>41</v>
      </c>
      <c r="C68">
        <v>68</v>
      </c>
      <c r="F68" t="s">
        <v>41</v>
      </c>
      <c r="G68">
        <v>178</v>
      </c>
      <c r="I68" t="s">
        <v>42</v>
      </c>
      <c r="J68">
        <v>55</v>
      </c>
    </row>
  </sheetData>
  <sheetProtection algorithmName="SHA-512" hashValue="eG3+0RIQAJqP6cjHBC3ulm9E21cor0EjMNzkTm0DLeM5akq531jSPJtWRusy0UDjbKGtc6Y5N/HGfEWSwq/Y2Q==" saltValue="E2rYMfd+e/yKcDHYd0Ksl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F16:G16"/>
  <sheetViews>
    <sheetView workbookViewId="0">
      <selection activeCell="F7" sqref="F7"/>
    </sheetView>
  </sheetViews>
  <sheetFormatPr defaultRowHeight="15" x14ac:dyDescent="0.25"/>
  <cols>
    <col min="6" max="6" width="10.7109375" bestFit="1" customWidth="1"/>
  </cols>
  <sheetData>
    <row r="16" spans="6:7" x14ac:dyDescent="0.25">
      <c r="F16" s="2">
        <v>38495</v>
      </c>
      <c r="G16" s="2">
        <v>42948</v>
      </c>
    </row>
  </sheetData>
  <sheetProtection algorithmName="SHA-512" hashValue="lRuSHHFHs7QBqQxeQSORdOmX+JgwDRHTWfj3cFm5qc3XpdeWUsvMkqe+W0PFh//6ZwBAYqbkXCXWEFu9S+SfGw==" saltValue="J1cC94prJOJ8mONtRmAHj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1FB1FDC410394290162E1A353053BC" ma:contentTypeVersion="12" ma:contentTypeDescription="Een nieuw document maken." ma:contentTypeScope="" ma:versionID="7cf8912fa0e54682b41708ff95cec5d4">
  <xsd:schema xmlns:xsd="http://www.w3.org/2001/XMLSchema" xmlns:xs="http://www.w3.org/2001/XMLSchema" xmlns:p="http://schemas.microsoft.com/office/2006/metadata/properties" xmlns:ns2="43d231ff-b593-4c88-859c-3a861fb02aff" xmlns:ns3="5698049e-a33c-4b2a-89c5-c3e1641bc05f" targetNamespace="http://schemas.microsoft.com/office/2006/metadata/properties" ma:root="true" ma:fieldsID="5265c12b713b2868085220d07f806442" ns2:_="" ns3:_="">
    <xsd:import namespace="43d231ff-b593-4c88-859c-3a861fb02aff"/>
    <xsd:import namespace="5698049e-a33c-4b2a-89c5-c3e1641bc0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d231ff-b593-4c88-859c-3a861fb02a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98049e-a33c-4b2a-89c5-c3e1641bc05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D6F8FB-679F-4954-B40C-8913F7DEDA2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89BA95C-E88B-4E02-B927-FD7A187D7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d231ff-b593-4c88-859c-3a861fb02aff"/>
    <ds:schemaRef ds:uri="5698049e-a33c-4b2a-89c5-c3e1641bc0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C6EBE4-3374-476B-A8BA-4C14839BCC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Inschrijvingsformulier</vt:lpstr>
      <vt:lpstr>keuzelijsten</vt:lpstr>
      <vt:lpstr>testing</vt:lpstr>
      <vt:lpstr>Inschrijvingsformulier!Afdrukbereik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Dries Van Stevens</dc:creator>
  <cp:lastModifiedBy>Dries Van Stevens</cp:lastModifiedBy>
  <cp:lastPrinted>2020-07-08T19:35:57Z</cp:lastPrinted>
  <dcterms:created xsi:type="dcterms:W3CDTF">2017-06-01T11:27:57Z</dcterms:created>
  <dcterms:modified xsi:type="dcterms:W3CDTF">2020-07-15T09:27:50Z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0x010100B01FB1FDC410394290162E1A353053BC</vt:lpwstr>
  </property>
</Properties>
</file>